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wspedu-my.sharepoint.com/personal/ehauser_uwsp_edu/Documents/NADF Info/New Website/New Additions to Add/Walleye/Walleye Economic Models/"/>
    </mc:Choice>
  </mc:AlternateContent>
  <xr:revisionPtr revIDLastSave="0" documentId="8_{D353055A-F5E7-40D9-8726-72E9166FFD0D}" xr6:coauthVersionLast="47" xr6:coauthVersionMax="47" xr10:uidLastSave="{00000000-0000-0000-0000-000000000000}"/>
  <bookViews>
    <workbookView xWindow="1425" yWindow="1425" windowWidth="26100" windowHeight="15630" activeTab="2" xr2:uid="{00000000-000D-0000-FFFF-FFFF00000000}"/>
  </bookViews>
  <sheets>
    <sheet name="investment" sheetId="3" r:id="rId1"/>
    <sheet name=" analysis" sheetId="1" r:id="rId2"/>
    <sheet name=" projections" sheetId="4" r:id="rId3"/>
  </sheets>
  <definedNames>
    <definedName name="_xlnm.Print_Area" localSheetId="1">' analysis'!$A$2:$I$45</definedName>
    <definedName name="_xlnm.Print_Area" localSheetId="2">' projections'!#REF!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3" l="1"/>
  <c r="J18" i="3"/>
  <c r="F19" i="3"/>
  <c r="H19" i="3" s="1"/>
  <c r="F18" i="3"/>
  <c r="H18" i="3" s="1"/>
  <c r="D10" i="1"/>
  <c r="J20" i="3"/>
  <c r="J21" i="3"/>
  <c r="J22" i="3"/>
  <c r="J23" i="3" s="1"/>
  <c r="C4" i="1" s="1"/>
  <c r="I2" i="1"/>
  <c r="C2" i="1"/>
  <c r="E14" i="1" s="1"/>
  <c r="F14" i="1" s="1"/>
  <c r="D27" i="1"/>
  <c r="F22" i="1"/>
  <c r="F23" i="1"/>
  <c r="F20" i="3"/>
  <c r="H20" i="3"/>
  <c r="F21" i="3"/>
  <c r="H21" i="3" s="1"/>
  <c r="H50" i="3" s="1"/>
  <c r="F22" i="3"/>
  <c r="H22" i="3"/>
  <c r="G34" i="1"/>
  <c r="G35" i="1"/>
  <c r="F35" i="1" s="1"/>
  <c r="F39" i="1"/>
  <c r="F38" i="1"/>
  <c r="F37" i="1"/>
  <c r="F34" i="1"/>
  <c r="F5" i="3"/>
  <c r="H5" i="3"/>
  <c r="H29" i="3"/>
  <c r="F23" i="3"/>
  <c r="F50" i="3" s="1"/>
  <c r="H23" i="3"/>
  <c r="F24" i="3"/>
  <c r="H24" i="3"/>
  <c r="F25" i="3"/>
  <c r="H25" i="3" s="1"/>
  <c r="F26" i="3"/>
  <c r="H26" i="3"/>
  <c r="F27" i="3"/>
  <c r="H27" i="3" s="1"/>
  <c r="F28" i="3"/>
  <c r="H28" i="3"/>
  <c r="F29" i="3"/>
  <c r="F30" i="3"/>
  <c r="H30" i="3"/>
  <c r="F31" i="3"/>
  <c r="H31" i="3"/>
  <c r="F36" i="3"/>
  <c r="H36" i="3" s="1"/>
  <c r="F6" i="3"/>
  <c r="H6" i="3" s="1"/>
  <c r="H16" i="3" s="1"/>
  <c r="F7" i="3"/>
  <c r="H7" i="3"/>
  <c r="F8" i="3"/>
  <c r="H8" i="3"/>
  <c r="F9" i="3"/>
  <c r="H9" i="3" s="1"/>
  <c r="F10" i="3"/>
  <c r="H10" i="3"/>
  <c r="F11" i="3"/>
  <c r="H11" i="3" s="1"/>
  <c r="F12" i="3"/>
  <c r="H12" i="3"/>
  <c r="F13" i="3"/>
  <c r="F16" i="3" s="1"/>
  <c r="H13" i="3"/>
  <c r="F14" i="3"/>
  <c r="H14" i="3"/>
  <c r="F15" i="3"/>
  <c r="H15" i="3" s="1"/>
  <c r="F32" i="3"/>
  <c r="H32" i="3"/>
  <c r="F33" i="3"/>
  <c r="H33" i="3"/>
  <c r="F34" i="3"/>
  <c r="H34" i="3"/>
  <c r="F35" i="3"/>
  <c r="H35" i="3"/>
  <c r="F37" i="3"/>
  <c r="H37" i="3"/>
  <c r="F38" i="3"/>
  <c r="H38" i="3"/>
  <c r="F39" i="3"/>
  <c r="H39" i="3"/>
  <c r="F40" i="3"/>
  <c r="H40" i="3" s="1"/>
  <c r="F41" i="3"/>
  <c r="H41" i="3"/>
  <c r="F42" i="3"/>
  <c r="H42" i="3"/>
  <c r="F43" i="3"/>
  <c r="H43" i="3"/>
  <c r="F44" i="3"/>
  <c r="H44" i="3"/>
  <c r="F45" i="3"/>
  <c r="H45" i="3"/>
  <c r="F46" i="3"/>
  <c r="H46" i="3"/>
  <c r="F47" i="3"/>
  <c r="H47" i="3"/>
  <c r="F48" i="3"/>
  <c r="H48" i="3" s="1"/>
  <c r="F49" i="3"/>
  <c r="H49" i="3"/>
  <c r="F51" i="3" l="1"/>
  <c r="G36" i="1" s="1"/>
  <c r="F29" i="1"/>
  <c r="E13" i="1"/>
  <c r="F13" i="1" s="1"/>
  <c r="E15" i="1"/>
  <c r="F15" i="1" s="1"/>
  <c r="E10" i="1"/>
  <c r="F10" i="1" s="1"/>
  <c r="H52" i="3"/>
  <c r="G33" i="1" s="1"/>
  <c r="E11" i="1"/>
  <c r="F11" i="1" s="1"/>
  <c r="E16" i="1"/>
  <c r="F16" i="1" s="1"/>
  <c r="F40" i="1"/>
  <c r="F18" i="1" l="1"/>
  <c r="G44" i="1"/>
  <c r="F44" i="1"/>
  <c r="G41" i="1"/>
  <c r="F33" i="1"/>
  <c r="F36" i="1"/>
  <c r="F41" i="1" l="1"/>
  <c r="F26" i="1"/>
  <c r="F28" i="1" s="1"/>
  <c r="F43" i="1" l="1"/>
  <c r="F45" i="1" s="1"/>
  <c r="F30" i="1"/>
  <c r="G28" i="1"/>
  <c r="I26" i="1"/>
  <c r="I12" i="1" l="1"/>
  <c r="I28" i="1"/>
  <c r="I23" i="1"/>
  <c r="I22" i="1"/>
  <c r="G43" i="1"/>
  <c r="I14" i="1"/>
  <c r="I13" i="1"/>
  <c r="I10" i="1"/>
  <c r="I11" i="1"/>
  <c r="I15" i="1"/>
  <c r="I16" i="1"/>
  <c r="I18" i="1"/>
  <c r="H43" i="1" l="1"/>
  <c r="H40" i="1"/>
  <c r="H37" i="1"/>
  <c r="H12" i="1"/>
  <c r="H38" i="1"/>
  <c r="H35" i="1"/>
  <c r="G45" i="1"/>
  <c r="H39" i="1"/>
  <c r="H22" i="1"/>
  <c r="H14" i="1"/>
  <c r="H34" i="1"/>
  <c r="H23" i="1"/>
  <c r="H13" i="1"/>
  <c r="H36" i="1"/>
  <c r="H11" i="1"/>
  <c r="H15" i="1"/>
  <c r="H33" i="1"/>
  <c r="H10" i="1"/>
  <c r="H16" i="1"/>
  <c r="H41" i="1"/>
  <c r="H18" i="1"/>
  <c r="H26" i="1"/>
  <c r="H28" i="1"/>
</calcChain>
</file>

<file path=xl/sharedStrings.xml><?xml version="1.0" encoding="utf-8"?>
<sst xmlns="http://schemas.openxmlformats.org/spreadsheetml/2006/main" count="189" uniqueCount="136">
  <si>
    <t>tank assembly (4 foot dia)</t>
  </si>
  <si>
    <t>drum filter</t>
  </si>
  <si>
    <t>fiberglass sump</t>
  </si>
  <si>
    <t>filter pump station</t>
  </si>
  <si>
    <t>distribution pump station</t>
  </si>
  <si>
    <t>stripping column</t>
  </si>
  <si>
    <t>uv disinfection</t>
  </si>
  <si>
    <t>oxygen cone</t>
  </si>
  <si>
    <t>foam fractionator</t>
  </si>
  <si>
    <t>immersion heater</t>
  </si>
  <si>
    <t>misc</t>
  </si>
  <si>
    <t>pH meter</t>
  </si>
  <si>
    <t>Hach kit</t>
  </si>
  <si>
    <t>kit</t>
  </si>
  <si>
    <t>chemicals</t>
  </si>
  <si>
    <t>microscope</t>
  </si>
  <si>
    <t>lab equip/ glass</t>
  </si>
  <si>
    <t>maint equip/supp</t>
  </si>
  <si>
    <t>big scale</t>
  </si>
  <si>
    <t>inch</t>
  </si>
  <si>
    <t>System capacity</t>
  </si>
  <si>
    <t xml:space="preserve">Initial fingerling size </t>
  </si>
  <si>
    <t>Initial fingerling cost</t>
  </si>
  <si>
    <t>$/inch</t>
  </si>
  <si>
    <t xml:space="preserve">fingerlings </t>
  </si>
  <si>
    <t>asst.</t>
  </si>
  <si>
    <t>mile</t>
  </si>
  <si>
    <t>asst</t>
  </si>
  <si>
    <t>electricity</t>
  </si>
  <si>
    <t>% of total</t>
  </si>
  <si>
    <t>cost</t>
  </si>
  <si>
    <t>% of operating</t>
  </si>
  <si>
    <t>$/kwh</t>
  </si>
  <si>
    <t>LOX system rental</t>
  </si>
  <si>
    <t>month</t>
  </si>
  <si>
    <t>Annualized cost</t>
  </si>
  <si>
    <t>labor (semi-skilled)</t>
  </si>
  <si>
    <t>labor/day</t>
  </si>
  <si>
    <t>balance</t>
  </si>
  <si>
    <t>d.o. meter</t>
  </si>
  <si>
    <t>feeder</t>
  </si>
  <si>
    <t>nets</t>
  </si>
  <si>
    <t>boots/waders</t>
  </si>
  <si>
    <t>totes</t>
  </si>
  <si>
    <t>buckets</t>
  </si>
  <si>
    <t>No.</t>
  </si>
  <si>
    <t>(annual)</t>
  </si>
  <si>
    <t>septic system</t>
  </si>
  <si>
    <t>office equipment</t>
  </si>
  <si>
    <t>phone/internet service</t>
  </si>
  <si>
    <t>permits/licensing</t>
  </si>
  <si>
    <t>Total depreciation</t>
  </si>
  <si>
    <t>total annual depreciation</t>
  </si>
  <si>
    <t>Feed to gain ratio</t>
  </si>
  <si>
    <t xml:space="preserve">feed </t>
  </si>
  <si>
    <t>%</t>
  </si>
  <si>
    <t>Maximum loading</t>
  </si>
  <si>
    <t>lbs/gal</t>
  </si>
  <si>
    <t>heat</t>
  </si>
  <si>
    <t>($10.00 + 25% fringe)</t>
  </si>
  <si>
    <t>oxygen</t>
  </si>
  <si>
    <t>liter</t>
  </si>
  <si>
    <t>Mortality rate</t>
  </si>
  <si>
    <t>Category</t>
  </si>
  <si>
    <t>Sales/Marketing costs</t>
  </si>
  <si>
    <t>Item</t>
  </si>
  <si>
    <t>Unit</t>
  </si>
  <si>
    <t>Unit cost</t>
  </si>
  <si>
    <t>Total cost</t>
  </si>
  <si>
    <t>Useful life</t>
  </si>
  <si>
    <t>Depreciation</t>
  </si>
  <si>
    <t>Total investment</t>
  </si>
  <si>
    <t>Miscellaneous</t>
  </si>
  <si>
    <t xml:space="preserve">interest on operating capital </t>
  </si>
  <si>
    <t>interest on investment</t>
  </si>
  <si>
    <t>r.e.taxes</t>
  </si>
  <si>
    <t>insurance</t>
  </si>
  <si>
    <t>repairs</t>
  </si>
  <si>
    <t>Subtotal</t>
  </si>
  <si>
    <t>(years)</t>
  </si>
  <si>
    <t>Facilities</t>
  </si>
  <si>
    <t>Equipment</t>
  </si>
  <si>
    <t>Total production costs</t>
  </si>
  <si>
    <t>Production costs</t>
  </si>
  <si>
    <t>Total sales/marketing costs</t>
  </si>
  <si>
    <t>Total operating cost</t>
  </si>
  <si>
    <t>each</t>
  </si>
  <si>
    <t>lb</t>
  </si>
  <si>
    <t>gal</t>
  </si>
  <si>
    <t>hr</t>
  </si>
  <si>
    <t>cycle length</t>
  </si>
  <si>
    <t>days</t>
  </si>
  <si>
    <t>land cost</t>
  </si>
  <si>
    <t>aeration system</t>
  </si>
  <si>
    <t>well pump</t>
  </si>
  <si>
    <t>blower</t>
  </si>
  <si>
    <t>tools</t>
  </si>
  <si>
    <t>acre</t>
  </si>
  <si>
    <t>well (5 gpm)</t>
  </si>
  <si>
    <t>building 40x54</t>
  </si>
  <si>
    <t>plumbing</t>
  </si>
  <si>
    <t>system</t>
  </si>
  <si>
    <t>heat system</t>
  </si>
  <si>
    <t>electrical service</t>
  </si>
  <si>
    <t>backup generator</t>
  </si>
  <si>
    <t>water softener</t>
  </si>
  <si>
    <t>autodialer</t>
  </si>
  <si>
    <t>grams</t>
  </si>
  <si>
    <t>Breakeven operating cost per fish</t>
  </si>
  <si>
    <t>bio filter</t>
  </si>
  <si>
    <t>Final fish size</t>
  </si>
  <si>
    <t>len in</t>
  </si>
  <si>
    <t>wgt grms</t>
  </si>
  <si>
    <t>Days per cycle</t>
  </si>
  <si>
    <t>tank assembly (6 foot dia)</t>
  </si>
  <si>
    <t>cycle</t>
  </si>
  <si>
    <t>&gt;6</t>
  </si>
  <si>
    <t>source data for cycle length, weight gain</t>
  </si>
  <si>
    <t>inch (choose 2 ,2.5 ,3, 3.5, 4)</t>
  </si>
  <si>
    <t xml:space="preserve">&gt; 6 </t>
  </si>
  <si>
    <t>capacity</t>
  </si>
  <si>
    <t>tank size (gal)</t>
  </si>
  <si>
    <t>tank assembly (10 foot dia)</t>
  </si>
  <si>
    <t>total capacity</t>
  </si>
  <si>
    <t>No. of units</t>
  </si>
  <si>
    <t>Batch cost</t>
  </si>
  <si>
    <t>Production (number of fish)</t>
  </si>
  <si>
    <t xml:space="preserve">Breakeven per fish cost for walleye stocker production in an RAS at 19°C </t>
  </si>
  <si>
    <t>delivery charge</t>
  </si>
  <si>
    <t>Schedule of Investment</t>
  </si>
  <si>
    <t>Ownership costs</t>
  </si>
  <si>
    <t>Total ownership cost</t>
  </si>
  <si>
    <t>Breakeven total cost per fish</t>
  </si>
  <si>
    <t>tank assembly (12 foot dia)</t>
  </si>
  <si>
    <t>tank assembly (8 foot dia)</t>
  </si>
  <si>
    <t>stockerras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</si>
</sst>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0.0"/>
    <numFmt numFmtId="166" formatCode="&quot;$&quot;#,##0.00"/>
    <numFmt numFmtId="167" formatCode="&quot;$&quot;#,##0"/>
    <numFmt numFmtId="168" formatCode="&quot;$&quot;#,##0.00000"/>
  </numFmts>
  <fonts count="10">
    <font>
      <sz val="9"/>
      <name val="Geneva"/>
    </font>
    <font>
      <sz val="8"/>
      <name val="Geneva"/>
    </font>
    <font>
      <u/>
      <sz val="9"/>
      <color theme="10"/>
      <name val="Geneva"/>
    </font>
    <font>
      <u/>
      <sz val="9"/>
      <color theme="11"/>
      <name val="Geneva"/>
    </font>
    <font>
      <sz val="9"/>
      <name val="Calibri"/>
      <scheme val="minor"/>
    </font>
    <font>
      <b/>
      <sz val="16"/>
      <name val="Calibri"/>
      <scheme val="minor"/>
    </font>
    <font>
      <sz val="9"/>
      <color indexed="10"/>
      <name val="Calibri"/>
      <scheme val="minor"/>
    </font>
    <font>
      <sz val="9"/>
      <color indexed="57"/>
      <name val="Calibri"/>
      <scheme val="minor"/>
    </font>
    <font>
      <sz val="16"/>
      <name val="Calibri"/>
      <scheme val="minor"/>
    </font>
    <font>
      <sz val="14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165" fontId="0" fillId="0" borderId="0" xfId="0" applyNumberFormat="1"/>
    <xf numFmtId="1" fontId="0" fillId="0" borderId="0" xfId="0" applyNumberFormat="1"/>
    <xf numFmtId="9" fontId="0" fillId="0" borderId="0" xfId="0" applyNumberForma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4" xfId="0" applyFont="1" applyBorder="1"/>
    <xf numFmtId="0" fontId="4" fillId="0" borderId="3" xfId="0" applyFont="1" applyBorder="1"/>
    <xf numFmtId="165" fontId="4" fillId="0" borderId="2" xfId="0" applyNumberFormat="1" applyFont="1" applyBorder="1"/>
    <xf numFmtId="0" fontId="4" fillId="0" borderId="9" xfId="0" applyFont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0" fontId="4" fillId="2" borderId="2" xfId="0" applyFont="1" applyFill="1" applyBorder="1" applyProtection="1">
      <protection locked="0"/>
    </xf>
    <xf numFmtId="0" fontId="6" fillId="0" borderId="0" xfId="0" applyFont="1"/>
    <xf numFmtId="0" fontId="4" fillId="0" borderId="10" xfId="0" applyFont="1" applyBorder="1"/>
    <xf numFmtId="2" fontId="4" fillId="2" borderId="2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Border="1"/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/>
    <xf numFmtId="3" fontId="4" fillId="0" borderId="0" xfId="0" applyNumberFormat="1" applyFont="1"/>
    <xf numFmtId="167" fontId="4" fillId="0" borderId="0" xfId="0" applyNumberFormat="1" applyFont="1"/>
    <xf numFmtId="165" fontId="4" fillId="0" borderId="0" xfId="0" applyNumberFormat="1" applyFont="1"/>
    <xf numFmtId="166" fontId="4" fillId="2" borderId="0" xfId="0" applyNumberFormat="1" applyFont="1" applyFill="1" applyProtection="1">
      <protection locked="0"/>
    </xf>
    <xf numFmtId="167" fontId="4" fillId="2" borderId="0" xfId="0" applyNumberFormat="1" applyFont="1" applyFill="1" applyProtection="1">
      <protection locked="0"/>
    </xf>
    <xf numFmtId="168" fontId="4" fillId="2" borderId="0" xfId="0" applyNumberFormat="1" applyFont="1" applyFill="1" applyProtection="1">
      <protection locked="0"/>
    </xf>
    <xf numFmtId="0" fontId="7" fillId="0" borderId="0" xfId="0" applyFont="1"/>
    <xf numFmtId="167" fontId="4" fillId="0" borderId="2" xfId="0" applyNumberFormat="1" applyFont="1" applyBorder="1"/>
    <xf numFmtId="3" fontId="4" fillId="2" borderId="0" xfId="0" applyNumberFormat="1" applyFont="1" applyFill="1"/>
    <xf numFmtId="2" fontId="4" fillId="0" borderId="0" xfId="0" applyNumberFormat="1" applyFont="1"/>
    <xf numFmtId="10" fontId="4" fillId="0" borderId="0" xfId="0" applyNumberFormat="1" applyFont="1"/>
    <xf numFmtId="0" fontId="4" fillId="2" borderId="0" xfId="0" quotePrefix="1" applyFont="1" applyFill="1" applyProtection="1">
      <protection locked="0"/>
    </xf>
    <xf numFmtId="1" fontId="4" fillId="0" borderId="0" xfId="0" applyNumberFormat="1" applyFont="1"/>
    <xf numFmtId="0" fontId="4" fillId="2" borderId="0" xfId="0" applyFont="1" applyFill="1"/>
    <xf numFmtId="0" fontId="4" fillId="0" borderId="0" xfId="0" applyFont="1" applyAlignment="1">
      <alignment horizontal="left"/>
    </xf>
    <xf numFmtId="167" fontId="4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167" fontId="4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>
      <alignment horizontal="right"/>
    </xf>
    <xf numFmtId="167" fontId="4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67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64" fontId="4" fillId="0" borderId="0" xfId="0" applyNumberFormat="1" applyFont="1"/>
    <xf numFmtId="0" fontId="9" fillId="0" borderId="0" xfId="0" applyFont="1"/>
    <xf numFmtId="166" fontId="9" fillId="3" borderId="7" xfId="0" applyNumberFormat="1" applyFont="1" applyFill="1" applyBorder="1"/>
    <xf numFmtId="3" fontId="9" fillId="0" borderId="0" xfId="0" applyNumberFormat="1" applyFont="1"/>
    <xf numFmtId="165" fontId="4" fillId="0" borderId="2" xfId="0" applyNumberFormat="1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5" borderId="0" xfId="0" applyFont="1" applyFill="1" applyAlignment="1" applyProtection="1">
      <alignment horizontal="right"/>
      <protection locked="0"/>
    </xf>
    <xf numFmtId="0" fontId="0" fillId="6" borderId="0" xfId="0" applyFill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opLeftCell="A10" zoomScale="150" zoomScaleNormal="150" zoomScalePageLayoutView="150" workbookViewId="0">
      <selection activeCell="I14" sqref="I14"/>
    </sheetView>
  </sheetViews>
  <sheetFormatPr defaultColWidth="10.85546875" defaultRowHeight="12"/>
  <cols>
    <col min="1" max="1" width="12.85546875" style="20" bestFit="1" customWidth="1"/>
    <col min="2" max="2" width="18.28515625" style="20" customWidth="1"/>
    <col min="3" max="3" width="6.85546875" style="20" bestFit="1" customWidth="1"/>
    <col min="4" max="4" width="8.42578125" style="20" bestFit="1" customWidth="1"/>
    <col min="5" max="5" width="3.28515625" style="20" bestFit="1" customWidth="1"/>
    <col min="6" max="6" width="9.28515625" style="20" bestFit="1" customWidth="1"/>
    <col min="7" max="7" width="7.85546875" style="20" bestFit="1" customWidth="1"/>
    <col min="8" max="8" width="9.28515625" style="20" bestFit="1" customWidth="1"/>
    <col min="9" max="16384" width="10.85546875" style="20"/>
  </cols>
  <sheetData>
    <row r="1" spans="1:8" ht="21">
      <c r="A1" s="59" t="s">
        <v>129</v>
      </c>
      <c r="B1" s="59"/>
      <c r="C1" s="59"/>
      <c r="D1" s="59"/>
      <c r="E1" s="59"/>
      <c r="F1" s="59"/>
      <c r="G1" s="59"/>
      <c r="H1" s="59"/>
    </row>
    <row r="3" spans="1:8">
      <c r="A3" s="21" t="s">
        <v>63</v>
      </c>
      <c r="B3" s="21" t="s">
        <v>65</v>
      </c>
      <c r="C3" s="21" t="s">
        <v>66</v>
      </c>
      <c r="D3" s="21" t="s">
        <v>67</v>
      </c>
      <c r="E3" s="21" t="s">
        <v>45</v>
      </c>
      <c r="F3" s="21" t="s">
        <v>68</v>
      </c>
      <c r="G3" s="21" t="s">
        <v>69</v>
      </c>
      <c r="H3" s="21" t="s">
        <v>70</v>
      </c>
    </row>
    <row r="4" spans="1:8">
      <c r="A4" s="37" t="s">
        <v>80</v>
      </c>
      <c r="B4" s="37"/>
      <c r="C4" s="37"/>
      <c r="G4" s="20" t="s">
        <v>79</v>
      </c>
      <c r="H4" s="20" t="s">
        <v>46</v>
      </c>
    </row>
    <row r="5" spans="1:8">
      <c r="A5" s="37"/>
      <c r="B5" s="37" t="s">
        <v>92</v>
      </c>
      <c r="C5" s="37" t="s">
        <v>97</v>
      </c>
      <c r="D5" s="38">
        <v>5000</v>
      </c>
      <c r="E5" s="39">
        <v>1</v>
      </c>
      <c r="F5" s="40">
        <f t="shared" ref="F5:F15" si="0">D5*E5</f>
        <v>5000</v>
      </c>
      <c r="G5" s="41"/>
      <c r="H5" s="42">
        <f>F5*-0.05</f>
        <v>-250</v>
      </c>
    </row>
    <row r="6" spans="1:8">
      <c r="A6" s="37"/>
      <c r="B6" s="37" t="s">
        <v>98</v>
      </c>
      <c r="C6" s="37" t="s">
        <v>86</v>
      </c>
      <c r="D6" s="38">
        <v>5000</v>
      </c>
      <c r="E6" s="39">
        <v>1</v>
      </c>
      <c r="F6" s="40">
        <f t="shared" si="0"/>
        <v>5000</v>
      </c>
      <c r="G6" s="41">
        <v>50</v>
      </c>
      <c r="H6" s="42">
        <f t="shared" ref="H6:H15" si="1">F6/G6</f>
        <v>100</v>
      </c>
    </row>
    <row r="7" spans="1:8">
      <c r="A7" s="37"/>
      <c r="B7" s="37" t="s">
        <v>99</v>
      </c>
      <c r="C7" s="37" t="s">
        <v>86</v>
      </c>
      <c r="D7" s="38">
        <v>20000</v>
      </c>
      <c r="E7" s="39">
        <v>1</v>
      </c>
      <c r="F7" s="40">
        <f t="shared" si="0"/>
        <v>20000</v>
      </c>
      <c r="G7" s="41">
        <v>50</v>
      </c>
      <c r="H7" s="42">
        <f t="shared" si="1"/>
        <v>400</v>
      </c>
    </row>
    <row r="8" spans="1:8">
      <c r="A8" s="37"/>
      <c r="B8" s="37" t="s">
        <v>100</v>
      </c>
      <c r="C8" s="37" t="s">
        <v>101</v>
      </c>
      <c r="D8" s="38">
        <v>5000</v>
      </c>
      <c r="E8" s="39">
        <v>1</v>
      </c>
      <c r="F8" s="40">
        <f t="shared" si="0"/>
        <v>5000</v>
      </c>
      <c r="G8" s="41">
        <v>20</v>
      </c>
      <c r="H8" s="42">
        <f t="shared" si="1"/>
        <v>250</v>
      </c>
    </row>
    <row r="9" spans="1:8">
      <c r="A9" s="37"/>
      <c r="B9" s="37" t="s">
        <v>93</v>
      </c>
      <c r="C9" s="37" t="s">
        <v>101</v>
      </c>
      <c r="D9" s="38">
        <v>500</v>
      </c>
      <c r="E9" s="39">
        <v>1</v>
      </c>
      <c r="F9" s="40">
        <f t="shared" si="0"/>
        <v>500</v>
      </c>
      <c r="G9" s="41">
        <v>20</v>
      </c>
      <c r="H9" s="42">
        <f t="shared" si="1"/>
        <v>25</v>
      </c>
    </row>
    <row r="10" spans="1:8">
      <c r="A10" s="37"/>
      <c r="B10" s="37" t="s">
        <v>102</v>
      </c>
      <c r="C10" s="37" t="s">
        <v>101</v>
      </c>
      <c r="D10" s="38">
        <v>10000</v>
      </c>
      <c r="E10" s="39">
        <v>1</v>
      </c>
      <c r="F10" s="40">
        <f t="shared" si="0"/>
        <v>10000</v>
      </c>
      <c r="G10" s="41">
        <v>20</v>
      </c>
      <c r="H10" s="42">
        <f t="shared" si="1"/>
        <v>500</v>
      </c>
    </row>
    <row r="11" spans="1:8">
      <c r="A11" s="37"/>
      <c r="B11" s="37" t="s">
        <v>103</v>
      </c>
      <c r="C11" s="37" t="s">
        <v>101</v>
      </c>
      <c r="D11" s="38">
        <v>10000</v>
      </c>
      <c r="E11" s="39">
        <v>1</v>
      </c>
      <c r="F11" s="40">
        <f t="shared" si="0"/>
        <v>10000</v>
      </c>
      <c r="G11" s="41">
        <v>50</v>
      </c>
      <c r="H11" s="42">
        <f t="shared" si="1"/>
        <v>200</v>
      </c>
    </row>
    <row r="12" spans="1:8">
      <c r="A12" s="37"/>
      <c r="B12" s="37" t="s">
        <v>104</v>
      </c>
      <c r="C12" s="37" t="s">
        <v>86</v>
      </c>
      <c r="D12" s="38">
        <v>2000</v>
      </c>
      <c r="E12" s="39">
        <v>1</v>
      </c>
      <c r="F12" s="40">
        <f t="shared" si="0"/>
        <v>2000</v>
      </c>
      <c r="G12" s="41">
        <v>20</v>
      </c>
      <c r="H12" s="42">
        <f t="shared" si="1"/>
        <v>100</v>
      </c>
    </row>
    <row r="13" spans="1:8">
      <c r="A13" s="37"/>
      <c r="B13" s="37" t="s">
        <v>105</v>
      </c>
      <c r="C13" s="4" t="s">
        <v>86</v>
      </c>
      <c r="D13" s="38">
        <v>2000</v>
      </c>
      <c r="E13" s="39">
        <v>0</v>
      </c>
      <c r="F13" s="40">
        <f t="shared" si="0"/>
        <v>0</v>
      </c>
      <c r="G13" s="41">
        <v>10</v>
      </c>
      <c r="H13" s="42">
        <f t="shared" si="1"/>
        <v>0</v>
      </c>
    </row>
    <row r="14" spans="1:8">
      <c r="A14" s="37"/>
      <c r="B14" s="37" t="s">
        <v>47</v>
      </c>
      <c r="C14" s="4" t="s">
        <v>86</v>
      </c>
      <c r="D14" s="38">
        <v>10000</v>
      </c>
      <c r="E14" s="39">
        <v>1</v>
      </c>
      <c r="F14" s="40">
        <f t="shared" si="0"/>
        <v>10000</v>
      </c>
      <c r="G14" s="41">
        <v>50</v>
      </c>
      <c r="H14" s="42">
        <f t="shared" si="1"/>
        <v>200</v>
      </c>
    </row>
    <row r="15" spans="1:8">
      <c r="A15" s="37"/>
      <c r="B15" s="37" t="s">
        <v>106</v>
      </c>
      <c r="C15" s="37" t="s">
        <v>86</v>
      </c>
      <c r="D15" s="38">
        <v>200</v>
      </c>
      <c r="E15" s="39">
        <v>1</v>
      </c>
      <c r="F15" s="40">
        <f t="shared" si="0"/>
        <v>200</v>
      </c>
      <c r="G15" s="41">
        <v>20</v>
      </c>
      <c r="H15" s="42">
        <f t="shared" si="1"/>
        <v>10</v>
      </c>
    </row>
    <row r="16" spans="1:8">
      <c r="A16" s="37"/>
      <c r="B16" s="37" t="s">
        <v>78</v>
      </c>
      <c r="C16" s="37"/>
      <c r="D16" s="43"/>
      <c r="E16" s="44"/>
      <c r="F16" s="40">
        <f>SUM(F5:F15)</f>
        <v>67700</v>
      </c>
      <c r="G16" s="41"/>
      <c r="H16" s="40">
        <f>SUM(H5:H15)</f>
        <v>1535</v>
      </c>
    </row>
    <row r="17" spans="1:10">
      <c r="A17" s="37" t="s">
        <v>81</v>
      </c>
      <c r="B17" s="37"/>
      <c r="C17" s="37"/>
      <c r="D17" s="43"/>
      <c r="E17" s="44"/>
      <c r="F17" s="40"/>
      <c r="G17" s="41"/>
      <c r="H17" s="40"/>
      <c r="I17" s="54" t="s">
        <v>121</v>
      </c>
      <c r="J17" s="54" t="s">
        <v>120</v>
      </c>
    </row>
    <row r="18" spans="1:10">
      <c r="A18" s="37" t="s">
        <v>101</v>
      </c>
      <c r="B18" s="37" t="s">
        <v>133</v>
      </c>
      <c r="C18" s="37" t="s">
        <v>86</v>
      </c>
      <c r="D18" s="38">
        <v>3300</v>
      </c>
      <c r="E18" s="57">
        <v>0</v>
      </c>
      <c r="F18" s="40">
        <f t="shared" ref="F18:F19" si="2">D18*E18</f>
        <v>0</v>
      </c>
      <c r="G18" s="41">
        <v>25</v>
      </c>
      <c r="H18" s="42">
        <f t="shared" ref="H18:H19" si="3">F18/G18</f>
        <v>0</v>
      </c>
      <c r="I18" s="54">
        <v>2990</v>
      </c>
      <c r="J18" s="54">
        <f t="shared" ref="J18:J19" si="4">E18*I18</f>
        <v>0</v>
      </c>
    </row>
    <row r="19" spans="1:10">
      <c r="B19" s="37" t="s">
        <v>122</v>
      </c>
      <c r="C19" s="37" t="s">
        <v>86</v>
      </c>
      <c r="D19" s="38">
        <v>2370</v>
      </c>
      <c r="E19" s="57">
        <v>0</v>
      </c>
      <c r="F19" s="40">
        <f t="shared" si="2"/>
        <v>0</v>
      </c>
      <c r="G19" s="41">
        <v>25</v>
      </c>
      <c r="H19" s="42">
        <f t="shared" si="3"/>
        <v>0</v>
      </c>
      <c r="I19" s="54">
        <v>2350</v>
      </c>
      <c r="J19" s="54">
        <f t="shared" si="4"/>
        <v>0</v>
      </c>
    </row>
    <row r="20" spans="1:10">
      <c r="B20" s="37" t="s">
        <v>134</v>
      </c>
      <c r="C20" s="37" t="s">
        <v>86</v>
      </c>
      <c r="D20" s="38">
        <v>1290</v>
      </c>
      <c r="E20" s="57">
        <v>8</v>
      </c>
      <c r="F20" s="40">
        <f>D20*E20</f>
        <v>10320</v>
      </c>
      <c r="G20" s="41">
        <v>25</v>
      </c>
      <c r="H20" s="42">
        <f>F20/G20</f>
        <v>412.8</v>
      </c>
      <c r="I20" s="54">
        <v>1090</v>
      </c>
      <c r="J20" s="54">
        <f>E20*I20</f>
        <v>8720</v>
      </c>
    </row>
    <row r="21" spans="1:10">
      <c r="B21" s="37" t="s">
        <v>114</v>
      </c>
      <c r="C21" s="37" t="s">
        <v>86</v>
      </c>
      <c r="D21" s="38">
        <v>795</v>
      </c>
      <c r="E21" s="57">
        <v>0</v>
      </c>
      <c r="F21" s="40">
        <f>D21*E21</f>
        <v>0</v>
      </c>
      <c r="G21" s="41">
        <v>25</v>
      </c>
      <c r="H21" s="42">
        <f>F21/G21</f>
        <v>0</v>
      </c>
      <c r="I21" s="54">
        <v>575</v>
      </c>
      <c r="J21" s="54">
        <f>E21*I21</f>
        <v>0</v>
      </c>
    </row>
    <row r="22" spans="1:10">
      <c r="A22" s="37"/>
      <c r="B22" s="37" t="s">
        <v>0</v>
      </c>
      <c r="C22" s="37" t="s">
        <v>86</v>
      </c>
      <c r="D22" s="38">
        <v>475</v>
      </c>
      <c r="E22" s="57">
        <v>4</v>
      </c>
      <c r="F22" s="40">
        <f>D22*E22</f>
        <v>1900</v>
      </c>
      <c r="G22" s="41">
        <v>25</v>
      </c>
      <c r="H22" s="42">
        <f t="shared" ref="H22:H44" si="5">F22/G22</f>
        <v>76</v>
      </c>
      <c r="I22" s="54">
        <v>240</v>
      </c>
      <c r="J22" s="54">
        <f>E22*I22</f>
        <v>960</v>
      </c>
    </row>
    <row r="23" spans="1:10">
      <c r="A23" s="37"/>
      <c r="B23" s="37" t="s">
        <v>1</v>
      </c>
      <c r="C23" s="37" t="s">
        <v>86</v>
      </c>
      <c r="D23" s="38">
        <v>5000</v>
      </c>
      <c r="E23" s="39">
        <v>1</v>
      </c>
      <c r="F23" s="40">
        <f t="shared" ref="F23:F42" si="6">D23*E23</f>
        <v>5000</v>
      </c>
      <c r="G23" s="41">
        <v>20</v>
      </c>
      <c r="H23" s="42">
        <f t="shared" si="5"/>
        <v>250</v>
      </c>
      <c r="I23" s="55" t="s">
        <v>123</v>
      </c>
      <c r="J23" s="55">
        <f>J20+J21+J22</f>
        <v>9680</v>
      </c>
    </row>
    <row r="24" spans="1:10">
      <c r="A24" s="37"/>
      <c r="B24" s="37" t="s">
        <v>2</v>
      </c>
      <c r="C24" s="37" t="s">
        <v>86</v>
      </c>
      <c r="D24" s="38">
        <v>2000</v>
      </c>
      <c r="E24" s="39">
        <v>1</v>
      </c>
      <c r="F24" s="40">
        <f t="shared" si="6"/>
        <v>2000</v>
      </c>
      <c r="G24" s="41">
        <v>25</v>
      </c>
      <c r="H24" s="42">
        <f t="shared" si="5"/>
        <v>80</v>
      </c>
    </row>
    <row r="25" spans="1:10">
      <c r="A25" s="37"/>
      <c r="B25" s="37" t="s">
        <v>3</v>
      </c>
      <c r="C25" s="37" t="s">
        <v>86</v>
      </c>
      <c r="D25" s="38">
        <v>3688</v>
      </c>
      <c r="E25" s="39">
        <v>0</v>
      </c>
      <c r="F25" s="40">
        <f t="shared" si="6"/>
        <v>0</v>
      </c>
      <c r="G25" s="41">
        <v>5</v>
      </c>
      <c r="H25" s="42">
        <f t="shared" si="5"/>
        <v>0</v>
      </c>
    </row>
    <row r="26" spans="1:10">
      <c r="A26" s="37"/>
      <c r="B26" s="37" t="s">
        <v>4</v>
      </c>
      <c r="C26" s="37" t="s">
        <v>86</v>
      </c>
      <c r="D26" s="38">
        <v>4846</v>
      </c>
      <c r="E26" s="39">
        <v>0</v>
      </c>
      <c r="F26" s="40">
        <f t="shared" si="6"/>
        <v>0</v>
      </c>
      <c r="G26" s="41">
        <v>5</v>
      </c>
      <c r="H26" s="42">
        <f t="shared" si="5"/>
        <v>0</v>
      </c>
    </row>
    <row r="27" spans="1:10">
      <c r="A27" s="37"/>
      <c r="B27" s="37" t="s">
        <v>109</v>
      </c>
      <c r="C27" s="37" t="s">
        <v>86</v>
      </c>
      <c r="D27" s="38">
        <v>3000</v>
      </c>
      <c r="E27" s="39">
        <v>1</v>
      </c>
      <c r="F27" s="40">
        <f t="shared" si="6"/>
        <v>3000</v>
      </c>
      <c r="G27" s="41">
        <v>25</v>
      </c>
      <c r="H27" s="42">
        <f t="shared" si="5"/>
        <v>120</v>
      </c>
    </row>
    <row r="28" spans="1:10">
      <c r="A28" s="37"/>
      <c r="B28" s="37" t="s">
        <v>5</v>
      </c>
      <c r="C28" s="37" t="s">
        <v>86</v>
      </c>
      <c r="D28" s="38">
        <v>1000</v>
      </c>
      <c r="E28" s="39">
        <v>1</v>
      </c>
      <c r="F28" s="40">
        <f t="shared" si="6"/>
        <v>1000</v>
      </c>
      <c r="G28" s="41">
        <v>25</v>
      </c>
      <c r="H28" s="42">
        <f t="shared" si="5"/>
        <v>40</v>
      </c>
    </row>
    <row r="29" spans="1:10">
      <c r="A29" s="37"/>
      <c r="B29" s="37" t="s">
        <v>6</v>
      </c>
      <c r="C29" s="37" t="s">
        <v>86</v>
      </c>
      <c r="D29" s="38">
        <v>6500</v>
      </c>
      <c r="E29" s="39">
        <v>1</v>
      </c>
      <c r="F29" s="40">
        <f t="shared" si="6"/>
        <v>6500</v>
      </c>
      <c r="G29" s="41">
        <v>5</v>
      </c>
      <c r="H29" s="42">
        <f t="shared" si="5"/>
        <v>1300</v>
      </c>
    </row>
    <row r="30" spans="1:10">
      <c r="A30" s="37"/>
      <c r="B30" s="37" t="s">
        <v>7</v>
      </c>
      <c r="C30" s="37" t="s">
        <v>86</v>
      </c>
      <c r="D30" s="38">
        <v>3115</v>
      </c>
      <c r="E30" s="39">
        <v>0</v>
      </c>
      <c r="F30" s="40">
        <f t="shared" si="6"/>
        <v>0</v>
      </c>
      <c r="G30" s="41">
        <v>20</v>
      </c>
      <c r="H30" s="42">
        <f t="shared" si="5"/>
        <v>0</v>
      </c>
    </row>
    <row r="31" spans="1:10">
      <c r="A31" s="37"/>
      <c r="B31" s="37" t="s">
        <v>8</v>
      </c>
      <c r="C31" s="37" t="s">
        <v>86</v>
      </c>
      <c r="D31" s="38">
        <v>4025</v>
      </c>
      <c r="E31" s="39">
        <v>0</v>
      </c>
      <c r="F31" s="40">
        <f t="shared" si="6"/>
        <v>0</v>
      </c>
      <c r="G31" s="41">
        <v>20</v>
      </c>
      <c r="H31" s="42">
        <f t="shared" si="5"/>
        <v>0</v>
      </c>
    </row>
    <row r="32" spans="1:10">
      <c r="A32" s="37"/>
      <c r="B32" s="37" t="s">
        <v>9</v>
      </c>
      <c r="C32" s="37" t="s">
        <v>86</v>
      </c>
      <c r="D32" s="38">
        <v>1000</v>
      </c>
      <c r="E32" s="39">
        <v>1</v>
      </c>
      <c r="F32" s="40">
        <f t="shared" si="6"/>
        <v>1000</v>
      </c>
      <c r="G32" s="41">
        <v>5</v>
      </c>
      <c r="H32" s="42">
        <f t="shared" si="5"/>
        <v>200</v>
      </c>
    </row>
    <row r="33" spans="1:8">
      <c r="A33" s="37" t="s">
        <v>10</v>
      </c>
      <c r="B33" s="37" t="s">
        <v>94</v>
      </c>
      <c r="C33" s="37" t="s">
        <v>86</v>
      </c>
      <c r="D33" s="38">
        <v>300</v>
      </c>
      <c r="E33" s="39">
        <v>1</v>
      </c>
      <c r="F33" s="40">
        <f t="shared" si="6"/>
        <v>300</v>
      </c>
      <c r="G33" s="41">
        <v>10</v>
      </c>
      <c r="H33" s="42">
        <f t="shared" si="5"/>
        <v>30</v>
      </c>
    </row>
    <row r="34" spans="1:8">
      <c r="A34" s="37"/>
      <c r="B34" s="37" t="s">
        <v>95</v>
      </c>
      <c r="C34" s="37" t="s">
        <v>86</v>
      </c>
      <c r="D34" s="38">
        <v>600</v>
      </c>
      <c r="E34" s="39">
        <v>2</v>
      </c>
      <c r="F34" s="40">
        <f t="shared" si="6"/>
        <v>1200</v>
      </c>
      <c r="G34" s="41">
        <v>5</v>
      </c>
      <c r="H34" s="42">
        <f t="shared" si="5"/>
        <v>240</v>
      </c>
    </row>
    <row r="35" spans="1:8">
      <c r="A35" s="37"/>
      <c r="B35" s="37" t="s">
        <v>39</v>
      </c>
      <c r="C35" s="37" t="s">
        <v>86</v>
      </c>
      <c r="D35" s="38">
        <v>300</v>
      </c>
      <c r="E35" s="39">
        <v>1</v>
      </c>
      <c r="F35" s="40">
        <f t="shared" si="6"/>
        <v>300</v>
      </c>
      <c r="G35" s="41">
        <v>5</v>
      </c>
      <c r="H35" s="42">
        <f t="shared" si="5"/>
        <v>60</v>
      </c>
    </row>
    <row r="36" spans="1:8">
      <c r="A36" s="37"/>
      <c r="B36" s="37" t="s">
        <v>40</v>
      </c>
      <c r="C36" s="37" t="s">
        <v>86</v>
      </c>
      <c r="D36" s="38">
        <v>256</v>
      </c>
      <c r="E36" s="39">
        <v>12</v>
      </c>
      <c r="F36" s="40">
        <f t="shared" si="6"/>
        <v>3072</v>
      </c>
      <c r="G36" s="41">
        <v>10</v>
      </c>
      <c r="H36" s="42">
        <f t="shared" si="5"/>
        <v>307.2</v>
      </c>
    </row>
    <row r="37" spans="1:8">
      <c r="A37" s="37"/>
      <c r="B37" s="37" t="s">
        <v>38</v>
      </c>
      <c r="C37" s="37" t="s">
        <v>86</v>
      </c>
      <c r="D37" s="38">
        <v>300</v>
      </c>
      <c r="E37" s="39">
        <v>1</v>
      </c>
      <c r="F37" s="40">
        <f t="shared" si="6"/>
        <v>300</v>
      </c>
      <c r="G37" s="41">
        <v>10</v>
      </c>
      <c r="H37" s="42">
        <f t="shared" si="5"/>
        <v>30</v>
      </c>
    </row>
    <row r="38" spans="1:8">
      <c r="A38" s="37"/>
      <c r="B38" s="37" t="s">
        <v>41</v>
      </c>
      <c r="C38" s="37" t="s">
        <v>86</v>
      </c>
      <c r="D38" s="38">
        <v>25</v>
      </c>
      <c r="E38" s="39">
        <v>6</v>
      </c>
      <c r="F38" s="40">
        <f t="shared" si="6"/>
        <v>150</v>
      </c>
      <c r="G38" s="41">
        <v>5</v>
      </c>
      <c r="H38" s="42">
        <f t="shared" si="5"/>
        <v>30</v>
      </c>
    </row>
    <row r="39" spans="1:8">
      <c r="A39" s="37"/>
      <c r="B39" s="37" t="s">
        <v>42</v>
      </c>
      <c r="C39" s="37" t="s">
        <v>86</v>
      </c>
      <c r="D39" s="38">
        <v>50</v>
      </c>
      <c r="E39" s="39">
        <v>3</v>
      </c>
      <c r="F39" s="40">
        <f t="shared" si="6"/>
        <v>150</v>
      </c>
      <c r="G39" s="41">
        <v>2</v>
      </c>
      <c r="H39" s="42">
        <f t="shared" si="5"/>
        <v>75</v>
      </c>
    </row>
    <row r="40" spans="1:8">
      <c r="A40" s="37"/>
      <c r="B40" s="37" t="s">
        <v>43</v>
      </c>
      <c r="C40" s="37" t="s">
        <v>86</v>
      </c>
      <c r="D40" s="38">
        <v>5</v>
      </c>
      <c r="E40" s="39">
        <v>10</v>
      </c>
      <c r="F40" s="40">
        <f t="shared" si="6"/>
        <v>50</v>
      </c>
      <c r="G40" s="41">
        <v>1</v>
      </c>
      <c r="H40" s="42">
        <f t="shared" si="5"/>
        <v>50</v>
      </c>
    </row>
    <row r="41" spans="1:8">
      <c r="A41" s="37"/>
      <c r="B41" s="37" t="s">
        <v>44</v>
      </c>
      <c r="C41" s="37" t="s">
        <v>86</v>
      </c>
      <c r="D41" s="38">
        <v>2</v>
      </c>
      <c r="E41" s="39">
        <v>10</v>
      </c>
      <c r="F41" s="40">
        <f t="shared" si="6"/>
        <v>20</v>
      </c>
      <c r="G41" s="41">
        <v>2</v>
      </c>
      <c r="H41" s="42">
        <f t="shared" si="5"/>
        <v>10</v>
      </c>
    </row>
    <row r="42" spans="1:8">
      <c r="A42" s="37"/>
      <c r="B42" s="37" t="s">
        <v>96</v>
      </c>
      <c r="C42" s="37" t="s">
        <v>27</v>
      </c>
      <c r="D42" s="38">
        <v>300</v>
      </c>
      <c r="E42" s="39">
        <v>1</v>
      </c>
      <c r="F42" s="40">
        <f t="shared" si="6"/>
        <v>300</v>
      </c>
      <c r="G42" s="41">
        <v>10</v>
      </c>
      <c r="H42" s="42">
        <f t="shared" si="5"/>
        <v>30</v>
      </c>
    </row>
    <row r="43" spans="1:8">
      <c r="A43" s="37"/>
      <c r="B43" s="37" t="s">
        <v>11</v>
      </c>
      <c r="C43" s="37" t="s">
        <v>86</v>
      </c>
      <c r="D43" s="38">
        <v>100</v>
      </c>
      <c r="E43" s="39">
        <v>1</v>
      </c>
      <c r="F43" s="40">
        <f t="shared" ref="F43:F48" si="7">D43*E43</f>
        <v>100</v>
      </c>
      <c r="G43" s="41">
        <v>10</v>
      </c>
      <c r="H43" s="42">
        <f t="shared" si="5"/>
        <v>10</v>
      </c>
    </row>
    <row r="44" spans="1:8">
      <c r="A44" s="37"/>
      <c r="B44" s="37" t="s">
        <v>12</v>
      </c>
      <c r="C44" s="37" t="s">
        <v>13</v>
      </c>
      <c r="D44" s="38">
        <v>200</v>
      </c>
      <c r="E44" s="39">
        <v>1</v>
      </c>
      <c r="F44" s="40">
        <f t="shared" si="7"/>
        <v>200</v>
      </c>
      <c r="G44" s="41">
        <v>1</v>
      </c>
      <c r="H44" s="42">
        <f t="shared" si="5"/>
        <v>200</v>
      </c>
    </row>
    <row r="45" spans="1:8">
      <c r="A45" s="37"/>
      <c r="B45" s="37" t="s">
        <v>15</v>
      </c>
      <c r="C45" s="37" t="s">
        <v>86</v>
      </c>
      <c r="D45" s="38">
        <v>500</v>
      </c>
      <c r="E45" s="39">
        <v>1</v>
      </c>
      <c r="F45" s="40">
        <f t="shared" si="7"/>
        <v>500</v>
      </c>
      <c r="G45" s="41">
        <v>20</v>
      </c>
      <c r="H45" s="42">
        <f>F45/G45</f>
        <v>25</v>
      </c>
    </row>
    <row r="46" spans="1:8">
      <c r="A46" s="37"/>
      <c r="B46" s="37" t="s">
        <v>16</v>
      </c>
      <c r="C46" s="37" t="s">
        <v>27</v>
      </c>
      <c r="D46" s="38">
        <v>200</v>
      </c>
      <c r="E46" s="39">
        <v>1</v>
      </c>
      <c r="F46" s="40">
        <f t="shared" si="7"/>
        <v>200</v>
      </c>
      <c r="G46" s="41">
        <v>5</v>
      </c>
      <c r="H46" s="42">
        <f>F46/G46</f>
        <v>40</v>
      </c>
    </row>
    <row r="47" spans="1:8">
      <c r="A47" s="37"/>
      <c r="B47" s="37" t="s">
        <v>17</v>
      </c>
      <c r="C47" s="37" t="s">
        <v>27</v>
      </c>
      <c r="D47" s="38">
        <v>200</v>
      </c>
      <c r="E47" s="39">
        <v>1</v>
      </c>
      <c r="F47" s="40">
        <f t="shared" si="7"/>
        <v>200</v>
      </c>
      <c r="G47" s="41">
        <v>5</v>
      </c>
      <c r="H47" s="42">
        <f>F47/G47</f>
        <v>40</v>
      </c>
    </row>
    <row r="48" spans="1:8">
      <c r="A48" s="37"/>
      <c r="B48" s="37" t="s">
        <v>18</v>
      </c>
      <c r="C48" s="37" t="s">
        <v>86</v>
      </c>
      <c r="D48" s="38">
        <v>200</v>
      </c>
      <c r="E48" s="39">
        <v>1</v>
      </c>
      <c r="F48" s="40">
        <f t="shared" si="7"/>
        <v>200</v>
      </c>
      <c r="G48" s="41">
        <v>10</v>
      </c>
      <c r="H48" s="42">
        <f>F48/G48</f>
        <v>20</v>
      </c>
    </row>
    <row r="49" spans="1:8">
      <c r="A49" s="37"/>
      <c r="B49" s="20" t="s">
        <v>48</v>
      </c>
      <c r="C49" s="20" t="s">
        <v>27</v>
      </c>
      <c r="D49" s="40">
        <v>1000</v>
      </c>
      <c r="E49" s="45">
        <v>1</v>
      </c>
      <c r="F49" s="40">
        <f>D49*E49</f>
        <v>1000</v>
      </c>
      <c r="G49" s="20">
        <v>7</v>
      </c>
      <c r="H49" s="46">
        <f>F49/G49</f>
        <v>142.85714285714286</v>
      </c>
    </row>
    <row r="50" spans="1:8">
      <c r="A50" s="37"/>
      <c r="B50" s="37" t="s">
        <v>78</v>
      </c>
      <c r="C50" s="37"/>
      <c r="E50" s="45"/>
      <c r="F50" s="40">
        <f>SUM(F20:F49)</f>
        <v>38962</v>
      </c>
      <c r="H50" s="42">
        <f>SUM(H20:H49)</f>
        <v>3818.8571428571427</v>
      </c>
    </row>
    <row r="51" spans="1:8">
      <c r="A51" s="37" t="s">
        <v>71</v>
      </c>
      <c r="B51" s="37"/>
      <c r="C51" s="37"/>
      <c r="F51" s="47">
        <f>F16+F50</f>
        <v>106662</v>
      </c>
      <c r="H51" s="42"/>
    </row>
    <row r="52" spans="1:8">
      <c r="A52" s="37" t="s">
        <v>51</v>
      </c>
      <c r="B52" s="37"/>
      <c r="C52" s="37"/>
      <c r="F52" s="45"/>
      <c r="H52" s="48">
        <f>H16+H50</f>
        <v>5353.8571428571431</v>
      </c>
    </row>
  </sheetData>
  <mergeCells count="1">
    <mergeCell ref="A1:H1"/>
  </mergeCells>
  <phoneticPr fontId="1"/>
  <pageMargins left="0.75" right="0.75" top="1" bottom="1" header="0.5" footer="0.5"/>
  <pageSetup orientation="portrait" horizontalDpi="4294967292" verticalDpi="4294967292"/>
  <rowBreaks count="1" manualBreakCount="1"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zoomScale="125" zoomScaleNormal="125" zoomScalePageLayoutView="125" workbookViewId="0">
      <selection activeCell="A7" sqref="A7:G7"/>
    </sheetView>
  </sheetViews>
  <sheetFormatPr defaultColWidth="10.85546875" defaultRowHeight="12"/>
  <cols>
    <col min="1" max="1" width="21.7109375" style="4" bestFit="1" customWidth="1"/>
    <col min="2" max="2" width="19.140625" style="4" customWidth="1"/>
    <col min="3" max="3" width="8.140625" style="4" customWidth="1"/>
    <col min="4" max="4" width="8.140625" style="4" bestFit="1" customWidth="1"/>
    <col min="5" max="5" width="13.85546875" style="4" customWidth="1"/>
    <col min="6" max="7" width="18.7109375" style="4" customWidth="1"/>
    <col min="8" max="8" width="7.28515625" style="4" bestFit="1" customWidth="1"/>
    <col min="9" max="9" width="10.42578125" style="4" bestFit="1" customWidth="1"/>
    <col min="10" max="16384" width="10.85546875" style="4"/>
  </cols>
  <sheetData>
    <row r="1" spans="1:9" ht="33" customHeight="1" thickBot="1">
      <c r="B1" s="5" t="s">
        <v>127</v>
      </c>
      <c r="H1" s="61"/>
      <c r="I1" s="62"/>
    </row>
    <row r="2" spans="1:9">
      <c r="A2" s="6" t="s">
        <v>113</v>
      </c>
      <c r="B2" s="7"/>
      <c r="C2" s="8">
        <f>LOOKUP(G2,' projections'!A5:A10,' projections'!C5:C10)</f>
        <v>111</v>
      </c>
      <c r="E2" s="9" t="s">
        <v>21</v>
      </c>
      <c r="F2" s="7" t="s">
        <v>118</v>
      </c>
      <c r="G2" s="10">
        <v>3.5</v>
      </c>
      <c r="H2" s="11" t="s">
        <v>107</v>
      </c>
      <c r="I2" s="53">
        <f>LOOKUP(G2,' projections'!A5:A10,' projections'!B5:B10)</f>
        <v>6</v>
      </c>
    </row>
    <row r="3" spans="1:9">
      <c r="A3" s="12" t="s">
        <v>56</v>
      </c>
      <c r="B3" s="7" t="s">
        <v>57</v>
      </c>
      <c r="C3" s="13">
        <v>0.5</v>
      </c>
      <c r="D3" s="14"/>
      <c r="E3" s="15" t="s">
        <v>22</v>
      </c>
      <c r="F3" s="7" t="s">
        <v>23</v>
      </c>
      <c r="G3" s="16">
        <v>0.25</v>
      </c>
      <c r="H3" s="63"/>
      <c r="I3" s="60"/>
    </row>
    <row r="4" spans="1:9">
      <c r="A4" s="12" t="s">
        <v>20</v>
      </c>
      <c r="B4" s="7" t="s">
        <v>88</v>
      </c>
      <c r="C4" s="17">
        <f>investment!J23</f>
        <v>9680</v>
      </c>
      <c r="E4" s="15" t="s">
        <v>110</v>
      </c>
      <c r="F4" s="7" t="s">
        <v>19</v>
      </c>
      <c r="G4" s="56" t="s">
        <v>119</v>
      </c>
      <c r="H4" s="11" t="s">
        <v>107</v>
      </c>
      <c r="I4" s="11">
        <v>47.4</v>
      </c>
    </row>
    <row r="5" spans="1:9" ht="12.75" thickBot="1">
      <c r="A5" s="12" t="s">
        <v>53</v>
      </c>
      <c r="B5" s="7"/>
      <c r="C5" s="13">
        <v>1.2</v>
      </c>
      <c r="E5" s="18" t="s">
        <v>62</v>
      </c>
      <c r="F5" s="7" t="s">
        <v>55</v>
      </c>
      <c r="G5" s="10">
        <v>5</v>
      </c>
      <c r="H5" s="63"/>
      <c r="I5" s="60"/>
    </row>
    <row r="6" spans="1:9" ht="12.75" thickBot="1">
      <c r="A6" s="18" t="s">
        <v>37</v>
      </c>
      <c r="B6" s="7" t="s">
        <v>89</v>
      </c>
      <c r="C6" s="13">
        <v>2</v>
      </c>
      <c r="D6" s="19"/>
      <c r="H6" s="20"/>
      <c r="I6" s="20"/>
    </row>
    <row r="7" spans="1:9">
      <c r="A7" s="60"/>
      <c r="B7" s="60"/>
      <c r="C7" s="60"/>
      <c r="D7" s="60"/>
      <c r="E7" s="60"/>
      <c r="F7" s="60"/>
      <c r="G7" s="60"/>
      <c r="H7" s="20" t="s">
        <v>29</v>
      </c>
      <c r="I7" s="20" t="s">
        <v>31</v>
      </c>
    </row>
    <row r="8" spans="1:9">
      <c r="A8" s="21" t="s">
        <v>63</v>
      </c>
      <c r="B8" s="21" t="s">
        <v>65</v>
      </c>
      <c r="C8" s="21" t="s">
        <v>66</v>
      </c>
      <c r="D8" s="21" t="s">
        <v>67</v>
      </c>
      <c r="E8" s="21" t="s">
        <v>124</v>
      </c>
      <c r="F8" s="21" t="s">
        <v>125</v>
      </c>
      <c r="G8" s="21" t="s">
        <v>35</v>
      </c>
      <c r="H8" s="21" t="s">
        <v>30</v>
      </c>
      <c r="I8" s="21" t="s">
        <v>30</v>
      </c>
    </row>
    <row r="9" spans="1:9">
      <c r="A9" s="4" t="s">
        <v>83</v>
      </c>
    </row>
    <row r="10" spans="1:9">
      <c r="B10" s="4" t="s">
        <v>24</v>
      </c>
      <c r="C10" s="4" t="s">
        <v>86</v>
      </c>
      <c r="D10" s="22">
        <f>G2*G3</f>
        <v>0.875</v>
      </c>
      <c r="E10" s="23">
        <f>(C4*C3)*(454/I4)*(1+(G5/100))</f>
        <v>48675.696202531653</v>
      </c>
      <c r="F10" s="24">
        <f>D10*E10</f>
        <v>42591.234177215199</v>
      </c>
      <c r="H10" s="25">
        <f t="shared" ref="H10:H16" si="0">(F10*100)/$G$43</f>
        <v>55.949657371578873</v>
      </c>
      <c r="I10" s="25">
        <f>(F10*100)/$G$28</f>
        <v>75.054174710460131</v>
      </c>
    </row>
    <row r="11" spans="1:9">
      <c r="B11" s="4" t="s">
        <v>54</v>
      </c>
      <c r="C11" s="4" t="s">
        <v>87</v>
      </c>
      <c r="D11" s="26">
        <v>0.7</v>
      </c>
      <c r="E11" s="23">
        <f>((I4-I2)*E10)/454*C5</f>
        <v>5326.4506329113929</v>
      </c>
      <c r="F11" s="24">
        <f>D11*E11</f>
        <v>3728.5154430379748</v>
      </c>
      <c r="H11" s="25">
        <f t="shared" si="0"/>
        <v>4.8979365254978635</v>
      </c>
      <c r="I11" s="25">
        <f t="shared" ref="I11:I16" si="1">(F11*100)/$G$28</f>
        <v>6.5703813209086492</v>
      </c>
    </row>
    <row r="12" spans="1:9">
      <c r="B12" s="4" t="s">
        <v>14</v>
      </c>
      <c r="C12" s="4" t="s">
        <v>25</v>
      </c>
      <c r="D12" s="22"/>
      <c r="E12" s="23"/>
      <c r="F12" s="27">
        <v>400</v>
      </c>
      <c r="H12" s="25">
        <f t="shared" si="0"/>
        <v>0.52545701905496744</v>
      </c>
      <c r="I12" s="25">
        <f t="shared" si="1"/>
        <v>0.70487907815182727</v>
      </c>
    </row>
    <row r="13" spans="1:9">
      <c r="A13"/>
      <c r="B13" s="4" t="s">
        <v>60</v>
      </c>
      <c r="C13" s="4" t="s">
        <v>61</v>
      </c>
      <c r="D13" s="28">
        <v>4.0999999999999999E-4</v>
      </c>
      <c r="E13" s="23">
        <f>1*C3*C4*C2</f>
        <v>537240</v>
      </c>
      <c r="F13" s="24">
        <f>D13*E13</f>
        <v>220.26839999999999</v>
      </c>
      <c r="H13" s="25">
        <f t="shared" si="0"/>
        <v>0.28935394214001797</v>
      </c>
      <c r="I13" s="25">
        <f t="shared" si="1"/>
        <v>0.38815646684494487</v>
      </c>
    </row>
    <row r="14" spans="1:9">
      <c r="B14" s="4" t="s">
        <v>33</v>
      </c>
      <c r="C14" s="4" t="s">
        <v>34</v>
      </c>
      <c r="D14" s="26">
        <v>335</v>
      </c>
      <c r="E14" s="23">
        <f>(C2/365)*12</f>
        <v>3.6493150684931512</v>
      </c>
      <c r="F14" s="24">
        <f>D14*E14</f>
        <v>1222.5205479452056</v>
      </c>
      <c r="G14" s="49">
        <v>4020</v>
      </c>
      <c r="H14" s="25">
        <f t="shared" si="0"/>
        <v>1.6059550071418329</v>
      </c>
      <c r="I14" s="25">
        <f t="shared" si="1"/>
        <v>2.1543228921432083</v>
      </c>
    </row>
    <row r="15" spans="1:9">
      <c r="B15" s="4" t="s">
        <v>28</v>
      </c>
      <c r="C15" s="4" t="s">
        <v>32</v>
      </c>
      <c r="D15" s="26">
        <v>0.09</v>
      </c>
      <c r="E15" s="23">
        <f>6*(C4/1000)*C2</f>
        <v>6446.88</v>
      </c>
      <c r="F15" s="24">
        <f>D15*E15</f>
        <v>580.2192</v>
      </c>
      <c r="H15" s="25">
        <f t="shared" si="0"/>
        <v>0.76220062807614486</v>
      </c>
      <c r="I15" s="25">
        <f t="shared" si="1"/>
        <v>1.0224609370549766</v>
      </c>
    </row>
    <row r="16" spans="1:9">
      <c r="A16" s="29"/>
      <c r="B16" s="4" t="s">
        <v>36</v>
      </c>
      <c r="C16" s="4" t="s">
        <v>89</v>
      </c>
      <c r="D16" s="26">
        <v>12.5</v>
      </c>
      <c r="E16" s="23">
        <f>C2*C6</f>
        <v>222</v>
      </c>
      <c r="F16" s="24">
        <f>D16*E16</f>
        <v>2775</v>
      </c>
      <c r="H16" s="25">
        <f t="shared" si="0"/>
        <v>3.6453580696938368</v>
      </c>
      <c r="I16" s="25">
        <f t="shared" si="1"/>
        <v>4.8900986046783022</v>
      </c>
    </row>
    <row r="17" spans="1:9">
      <c r="B17" s="4" t="s">
        <v>59</v>
      </c>
      <c r="D17" s="22"/>
      <c r="E17" s="23"/>
      <c r="F17" s="23"/>
    </row>
    <row r="18" spans="1:9">
      <c r="A18" s="4" t="s">
        <v>82</v>
      </c>
      <c r="D18" s="22"/>
      <c r="E18" s="23"/>
      <c r="F18" s="30">
        <f>SUM(F10:F16)</f>
        <v>51517.757768198382</v>
      </c>
      <c r="H18" s="25">
        <f>(F18*100)/$G$43</f>
        <v>67.675918563183544</v>
      </c>
      <c r="I18" s="25">
        <f>(F18*100)/$G$28</f>
        <v>90.784474010242036</v>
      </c>
    </row>
    <row r="19" spans="1:9">
      <c r="D19" s="22"/>
      <c r="E19" s="23"/>
      <c r="F19" s="23"/>
    </row>
    <row r="20" spans="1:9">
      <c r="D20" s="22"/>
      <c r="E20" s="23"/>
      <c r="F20" s="23"/>
    </row>
    <row r="21" spans="1:9">
      <c r="A21" s="4" t="s">
        <v>64</v>
      </c>
      <c r="H21" s="25"/>
      <c r="I21" s="25"/>
    </row>
    <row r="22" spans="1:9">
      <c r="B22" s="4" t="s">
        <v>128</v>
      </c>
      <c r="C22" s="4" t="s">
        <v>26</v>
      </c>
      <c r="D22" s="26">
        <v>1.25</v>
      </c>
      <c r="E22" s="31">
        <v>150</v>
      </c>
      <c r="F22" s="24">
        <f>D22*E22</f>
        <v>187.5</v>
      </c>
      <c r="H22" s="25">
        <f>(F22*100)/$G$43</f>
        <v>0.24630797768201598</v>
      </c>
      <c r="I22" s="25">
        <f t="shared" ref="I22:I23" si="2">(F22*100)/$G$28</f>
        <v>0.33041206788366906</v>
      </c>
    </row>
    <row r="23" spans="1:9">
      <c r="A23" s="4" t="s">
        <v>84</v>
      </c>
      <c r="E23" s="23"/>
      <c r="F23" s="30">
        <f>F22</f>
        <v>187.5</v>
      </c>
      <c r="H23" s="25">
        <f>(F23*100)/$G$43</f>
        <v>0.24630797768201598</v>
      </c>
      <c r="I23" s="25">
        <f t="shared" si="2"/>
        <v>0.33041206788366906</v>
      </c>
    </row>
    <row r="24" spans="1:9">
      <c r="I24" s="32"/>
    </row>
    <row r="25" spans="1:9">
      <c r="A25" s="4" t="s">
        <v>72</v>
      </c>
    </row>
    <row r="26" spans="1:9">
      <c r="A26" s="33"/>
      <c r="B26" s="4" t="s">
        <v>73</v>
      </c>
      <c r="C26" s="4" t="s">
        <v>55</v>
      </c>
      <c r="D26" s="34">
        <v>6.5</v>
      </c>
      <c r="F26" s="24">
        <f>((F18+F23)*D26/100)*(D27/365)</f>
        <v>1022.0642049247982</v>
      </c>
      <c r="H26" s="25">
        <f>(F26*100)/$G$43</f>
        <v>1.3426270260064246</v>
      </c>
      <c r="I26" s="25">
        <f>(F26*100)/$G$28</f>
        <v>1.8010791864484301</v>
      </c>
    </row>
    <row r="27" spans="1:9">
      <c r="B27" s="4" t="s">
        <v>90</v>
      </c>
      <c r="C27" s="4" t="s">
        <v>91</v>
      </c>
      <c r="D27" s="35">
        <f>C2</f>
        <v>111</v>
      </c>
    </row>
    <row r="28" spans="1:9">
      <c r="A28" s="4" t="s">
        <v>85</v>
      </c>
      <c r="F28" s="30">
        <f>F18+F23+F26</f>
        <v>52727.32197312318</v>
      </c>
      <c r="G28" s="30">
        <f>F28+G14</f>
        <v>56747.32197312318</v>
      </c>
      <c r="H28" s="25">
        <f>(F28*100)/$G$43</f>
        <v>69.264853566871977</v>
      </c>
      <c r="I28" s="25">
        <f>(G28*100)/$G$28</f>
        <v>100</v>
      </c>
    </row>
    <row r="29" spans="1:9" ht="12.75" thickBot="1">
      <c r="A29" s="4" t="s">
        <v>126</v>
      </c>
      <c r="F29" s="23">
        <f>C3*C4*454/I4</f>
        <v>46357.805907172995</v>
      </c>
    </row>
    <row r="30" spans="1:9" s="50" customFormat="1" ht="24" customHeight="1" thickBot="1">
      <c r="A30" s="50" t="s">
        <v>108</v>
      </c>
      <c r="F30" s="51">
        <f>F28/F29</f>
        <v>1.1373989976726795</v>
      </c>
    </row>
    <row r="32" spans="1:9">
      <c r="A32" s="4" t="s">
        <v>130</v>
      </c>
      <c r="G32" s="22"/>
    </row>
    <row r="33" spans="1:9">
      <c r="B33" s="4" t="s">
        <v>52</v>
      </c>
      <c r="F33" s="24">
        <f>G33*C2/365</f>
        <v>1628.1592954990215</v>
      </c>
      <c r="G33" s="24">
        <f>investment!H52</f>
        <v>5353.8571428571431</v>
      </c>
      <c r="H33" s="25">
        <f t="shared" ref="H33:H41" si="3">(G33*100)/$G$43</f>
        <v>7.0330545368296491</v>
      </c>
      <c r="I33" s="25"/>
    </row>
    <row r="34" spans="1:9">
      <c r="B34" s="4" t="s">
        <v>49</v>
      </c>
      <c r="C34" s="4" t="s">
        <v>34</v>
      </c>
      <c r="D34" s="22">
        <v>70</v>
      </c>
      <c r="E34" s="4">
        <v>12</v>
      </c>
      <c r="F34" s="24">
        <f>G34*C2/365</f>
        <v>255.45205479452054</v>
      </c>
      <c r="G34" s="24">
        <f>D34*E34</f>
        <v>840</v>
      </c>
      <c r="H34" s="25">
        <f t="shared" si="3"/>
        <v>1.1034597400154316</v>
      </c>
    </row>
    <row r="35" spans="1:9">
      <c r="B35" s="4" t="s">
        <v>58</v>
      </c>
      <c r="C35" s="4" t="s">
        <v>34</v>
      </c>
      <c r="D35" s="26">
        <v>200</v>
      </c>
      <c r="E35" s="36">
        <v>6</v>
      </c>
      <c r="F35" s="24">
        <f>G35*C2/365</f>
        <v>364.93150684931504</v>
      </c>
      <c r="G35" s="24">
        <f>D35*E35</f>
        <v>1200</v>
      </c>
      <c r="H35" s="25">
        <f t="shared" si="3"/>
        <v>1.5763710571649023</v>
      </c>
    </row>
    <row r="36" spans="1:9">
      <c r="B36" s="4" t="s">
        <v>74</v>
      </c>
      <c r="F36" s="24">
        <f>G36*C2/365</f>
        <v>2108.4009041095887</v>
      </c>
      <c r="G36" s="24">
        <f>investment!F51*D26/100</f>
        <v>6933.03</v>
      </c>
      <c r="H36" s="25">
        <f t="shared" si="3"/>
        <v>9.1075231920466528</v>
      </c>
      <c r="I36" s="25"/>
    </row>
    <row r="37" spans="1:9">
      <c r="B37" s="4" t="s">
        <v>75</v>
      </c>
      <c r="F37" s="24">
        <f>G37*C2/365</f>
        <v>608.21917808219177</v>
      </c>
      <c r="G37" s="27">
        <v>2000</v>
      </c>
      <c r="H37" s="25">
        <f t="shared" si="3"/>
        <v>2.6272850952748374</v>
      </c>
    </row>
    <row r="38" spans="1:9">
      <c r="B38" s="4" t="s">
        <v>50</v>
      </c>
      <c r="F38" s="24">
        <f>G38*C2/365</f>
        <v>15.205479452054794</v>
      </c>
      <c r="G38" s="27">
        <v>50</v>
      </c>
      <c r="H38" s="25">
        <f t="shared" si="3"/>
        <v>6.5682127381870931E-2</v>
      </c>
    </row>
    <row r="39" spans="1:9">
      <c r="B39" s="4" t="s">
        <v>76</v>
      </c>
      <c r="F39" s="24">
        <f>G39*C2/365</f>
        <v>912.32876712328766</v>
      </c>
      <c r="G39" s="27">
        <v>3000</v>
      </c>
      <c r="H39" s="25">
        <f t="shared" si="3"/>
        <v>3.9409276429122557</v>
      </c>
      <c r="I39" s="32"/>
    </row>
    <row r="40" spans="1:9">
      <c r="B40" s="4" t="s">
        <v>77</v>
      </c>
      <c r="F40" s="24">
        <f>G40*C2/365</f>
        <v>0</v>
      </c>
      <c r="G40" s="27">
        <v>0</v>
      </c>
      <c r="H40" s="25">
        <f t="shared" si="3"/>
        <v>0</v>
      </c>
      <c r="I40" s="25"/>
    </row>
    <row r="41" spans="1:9">
      <c r="A41" s="4" t="s">
        <v>131</v>
      </c>
      <c r="F41" s="30">
        <f>G41*C2/365</f>
        <v>5892.6971859099804</v>
      </c>
      <c r="G41" s="30">
        <f>SUM(G33:G40)</f>
        <v>19376.887142857144</v>
      </c>
      <c r="H41" s="25">
        <f t="shared" si="3"/>
        <v>25.454303391625601</v>
      </c>
      <c r="I41" s="25"/>
    </row>
    <row r="42" spans="1:9">
      <c r="G42" s="24"/>
    </row>
    <row r="43" spans="1:9">
      <c r="A43" s="4" t="s">
        <v>68</v>
      </c>
      <c r="F43" s="30">
        <f>F28+F41</f>
        <v>58620.01915903316</v>
      </c>
      <c r="G43" s="30">
        <f>G28+G41</f>
        <v>76124.209115980324</v>
      </c>
      <c r="H43" s="25">
        <f>(G43*100)/$G$43</f>
        <v>100</v>
      </c>
      <c r="I43" s="25"/>
    </row>
    <row r="44" spans="1:9" s="50" customFormat="1" ht="24" customHeight="1" thickBot="1">
      <c r="A44" s="50" t="s">
        <v>126</v>
      </c>
      <c r="F44" s="52">
        <f>F29</f>
        <v>46357.805907172995</v>
      </c>
      <c r="G44" s="52">
        <f>F29</f>
        <v>46357.805907172995</v>
      </c>
    </row>
    <row r="45" spans="1:9" s="50" customFormat="1" ht="23.1" customHeight="1" thickBot="1">
      <c r="A45" s="50" t="s">
        <v>132</v>
      </c>
      <c r="F45" s="51">
        <f>F43/F44</f>
        <v>1.2645123730923344</v>
      </c>
      <c r="G45" s="51">
        <f>G43/G44</f>
        <v>1.6421012087675517</v>
      </c>
    </row>
    <row r="56" ht="2.1" customHeight="1"/>
    <row r="57" hidden="1"/>
  </sheetData>
  <mergeCells count="4">
    <mergeCell ref="A7:G7"/>
    <mergeCell ref="H1:I1"/>
    <mergeCell ref="H3:I3"/>
    <mergeCell ref="H5:I5"/>
  </mergeCells>
  <phoneticPr fontId="1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1"/>
  <sheetViews>
    <sheetView tabSelected="1" workbookViewId="0">
      <selection activeCell="H10" sqref="H10"/>
    </sheetView>
  </sheetViews>
  <sheetFormatPr defaultColWidth="11.42578125" defaultRowHeight="12"/>
  <cols>
    <col min="1" max="1" width="15.28515625" customWidth="1"/>
    <col min="2" max="3" width="8.7109375" customWidth="1"/>
    <col min="4" max="4" width="8.85546875" customWidth="1"/>
    <col min="5" max="5" width="11.85546875" bestFit="1" customWidth="1"/>
  </cols>
  <sheetData>
    <row r="2" spans="1:13">
      <c r="A2" t="s">
        <v>117</v>
      </c>
      <c r="H2" s="58" t="s">
        <v>135</v>
      </c>
    </row>
    <row r="3" spans="1:13">
      <c r="A3" t="s">
        <v>111</v>
      </c>
      <c r="B3" t="s">
        <v>112</v>
      </c>
      <c r="C3" t="s">
        <v>115</v>
      </c>
    </row>
    <row r="5" spans="1:13">
      <c r="A5">
        <v>2</v>
      </c>
      <c r="B5" s="1">
        <v>1.1000000000000001</v>
      </c>
      <c r="C5" s="2">
        <v>138</v>
      </c>
      <c r="J5" s="1"/>
      <c r="K5" s="1"/>
      <c r="L5" s="1"/>
      <c r="M5" s="1"/>
    </row>
    <row r="6" spans="1:13">
      <c r="A6">
        <v>2.5</v>
      </c>
      <c r="B6" s="1">
        <v>2.6480000000000001</v>
      </c>
      <c r="C6" s="2">
        <v>128</v>
      </c>
      <c r="J6" s="1"/>
      <c r="K6" s="1"/>
      <c r="L6" s="1"/>
      <c r="M6" s="1"/>
    </row>
    <row r="7" spans="1:13">
      <c r="A7">
        <v>3</v>
      </c>
      <c r="B7" s="1">
        <v>4.2</v>
      </c>
      <c r="C7" s="2">
        <v>120</v>
      </c>
      <c r="J7" s="1"/>
      <c r="K7" s="1"/>
      <c r="L7" s="1"/>
      <c r="M7" s="1"/>
    </row>
    <row r="8" spans="1:13">
      <c r="A8">
        <v>3.5</v>
      </c>
      <c r="B8" s="1">
        <v>6</v>
      </c>
      <c r="C8" s="2">
        <v>111</v>
      </c>
      <c r="J8" s="1"/>
      <c r="K8" s="1"/>
      <c r="L8" s="1"/>
      <c r="M8" s="1"/>
    </row>
    <row r="9" spans="1:13">
      <c r="A9">
        <v>4</v>
      </c>
      <c r="B9" s="1">
        <v>10.122999999999999</v>
      </c>
      <c r="C9" s="2">
        <v>92</v>
      </c>
      <c r="J9" s="1"/>
      <c r="K9" s="1"/>
      <c r="L9" s="1"/>
      <c r="M9" s="1"/>
    </row>
    <row r="10" spans="1:13">
      <c r="A10" t="s">
        <v>116</v>
      </c>
      <c r="B10" s="1">
        <v>47.393999999999998</v>
      </c>
      <c r="C10" s="2">
        <v>0</v>
      </c>
      <c r="J10" s="1"/>
      <c r="K10" s="1"/>
      <c r="L10" s="1"/>
      <c r="M10" s="1"/>
    </row>
    <row r="11" spans="1:13">
      <c r="J11" s="1"/>
      <c r="K11" s="1"/>
      <c r="L11" s="1"/>
      <c r="M11" s="1"/>
    </row>
    <row r="12" spans="1:13">
      <c r="J12" s="1"/>
      <c r="K12" s="1"/>
      <c r="L12" s="1"/>
      <c r="M12" s="1"/>
    </row>
    <row r="13" spans="1:13">
      <c r="J13" s="1"/>
      <c r="K13" s="1"/>
      <c r="L13" s="1"/>
      <c r="M13" s="1"/>
    </row>
    <row r="14" spans="1:13">
      <c r="J14" s="1"/>
      <c r="K14" s="1"/>
      <c r="L14" s="1"/>
      <c r="M14" s="1"/>
    </row>
    <row r="15" spans="1:13">
      <c r="J15" s="1"/>
      <c r="K15" s="1"/>
      <c r="L15" s="1"/>
      <c r="M15" s="1"/>
    </row>
    <row r="16" spans="1:13">
      <c r="J16" s="1"/>
      <c r="K16" s="1"/>
      <c r="L16" s="1"/>
      <c r="M16" s="1"/>
    </row>
    <row r="17" spans="10:13">
      <c r="J17" s="1"/>
      <c r="K17" s="1"/>
      <c r="L17" s="1"/>
      <c r="M17" s="1"/>
    </row>
    <row r="18" spans="10:13">
      <c r="J18" s="1"/>
      <c r="K18" s="1"/>
      <c r="L18" s="1"/>
      <c r="M18" s="1"/>
    </row>
    <row r="19" spans="10:13">
      <c r="J19" s="1"/>
      <c r="K19" s="1"/>
      <c r="L19" s="1"/>
      <c r="M19" s="1"/>
    </row>
    <row r="20" spans="10:13">
      <c r="J20" s="1"/>
      <c r="K20" s="1"/>
      <c r="L20" s="1"/>
      <c r="M20" s="1"/>
    </row>
    <row r="21" spans="10:13">
      <c r="J21" s="1"/>
      <c r="K21" s="1"/>
      <c r="L21" s="1"/>
      <c r="M21" s="1"/>
    </row>
    <row r="22" spans="10:13">
      <c r="J22" s="1"/>
      <c r="K22" s="1"/>
      <c r="L22" s="1"/>
      <c r="M22" s="1"/>
    </row>
    <row r="23" spans="10:13">
      <c r="J23" s="1"/>
      <c r="K23" s="1"/>
      <c r="L23" s="1"/>
      <c r="M23" s="1"/>
    </row>
    <row r="24" spans="10:13">
      <c r="J24" s="1"/>
      <c r="K24" s="1"/>
      <c r="L24" s="1"/>
      <c r="M24" s="1"/>
    </row>
    <row r="25" spans="10:13">
      <c r="J25" s="1"/>
      <c r="K25" s="1"/>
      <c r="L25" s="1"/>
      <c r="M25" s="1"/>
    </row>
    <row r="26" spans="10:13">
      <c r="J26" s="1"/>
      <c r="K26" s="1"/>
      <c r="L26" s="1"/>
      <c r="M26" s="1"/>
    </row>
    <row r="27" spans="10:13">
      <c r="J27" s="1"/>
      <c r="K27" s="1"/>
      <c r="L27" s="1"/>
      <c r="M27" s="1"/>
    </row>
    <row r="28" spans="10:13">
      <c r="J28" s="1"/>
      <c r="K28" s="1"/>
      <c r="L28" s="1"/>
      <c r="M28" s="1"/>
    </row>
    <row r="29" spans="10:13">
      <c r="J29" s="1"/>
      <c r="K29" s="1"/>
      <c r="L29" s="1"/>
      <c r="M29" s="1"/>
    </row>
    <row r="30" spans="10:13">
      <c r="J30" s="1"/>
      <c r="K30" s="1"/>
      <c r="L30" s="1"/>
      <c r="M30" s="1"/>
    </row>
    <row r="31" spans="10:13">
      <c r="J31" s="3"/>
      <c r="K31" s="3"/>
      <c r="L31" s="3"/>
      <c r="M31" s="3"/>
    </row>
  </sheetData>
  <pageMargins left="0.75" right="0.75" top="1" bottom="1" header="0.5" footer="0.5"/>
  <pageSetup scale="8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A37C87FF337C7F4C8E9C57B2B876B502" ma:contentTypeVersion="0" ma:contentTypeDescription="Upload an image or a photograph." ma:contentTypeScope="" ma:versionID="b3e4208279eb148da73abf11484567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3de89927404324d19f63e1bc90a45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5A1D3-B65C-4A2E-BC4D-31CC684844B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58D976B-7E81-4AA7-90B3-3C15D783C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7DA58D-109B-4656-9ED7-E7D6B464E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investment</vt:lpstr>
      <vt:lpstr> analysis</vt:lpstr>
      <vt:lpstr> projections</vt:lpstr>
      <vt:lpstr>' analysis'!Print_Area</vt:lpstr>
    </vt:vector>
  </TitlesOfParts>
  <Company>uwap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Walleye Stocker Model </dc:title>
  <dc:creator>james held</dc:creator>
  <cp:keywords/>
  <cp:lastModifiedBy>Hauser, Emma</cp:lastModifiedBy>
  <cp:lastPrinted>2009-11-25T22:00:35Z</cp:lastPrinted>
  <dcterms:created xsi:type="dcterms:W3CDTF">2002-12-03T20:37:15Z</dcterms:created>
  <dcterms:modified xsi:type="dcterms:W3CDTF">2023-05-09T21:14:35Z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0x01010200A37C87FF337C7F4C8E9C57B2B876B502</vt:lpwstr>
  </property>
</Properties>
</file>