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fileSharing readOnlyRecommended="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uwspedu-my.sharepoint.com/personal/ehauser_uwsp_edu/Documents/NADF Info/New Website/New Additions to Add/Walleye/Walleye Economic Models/"/>
    </mc:Choice>
  </mc:AlternateContent>
  <xr:revisionPtr revIDLastSave="0" documentId="8_{52351A7E-501D-4128-9120-C5056BBF058D}" xr6:coauthVersionLast="47" xr6:coauthVersionMax="47" xr10:uidLastSave="{00000000-0000-0000-0000-000000000000}"/>
  <bookViews>
    <workbookView xWindow="1425" yWindow="1425" windowWidth="26100" windowHeight="15630" activeTab="1" xr2:uid="{00000000-000D-0000-FFFF-FFFF00000000}"/>
  </bookViews>
  <sheets>
    <sheet name="investment" sheetId="3" r:id="rId1"/>
    <sheet name="analysis" sheetId="1" r:id="rId2"/>
    <sheet name="values" sheetId="2" r:id="rId3"/>
  </sheets>
  <definedNames>
    <definedName name="_xlnm.Print_Area" localSheetId="1">analysis!$A$1:$I$44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C3" i="1" s="1"/>
  <c r="F9" i="1"/>
  <c r="E17" i="1" s="1"/>
  <c r="F17" i="1" s="1"/>
  <c r="C6" i="1"/>
  <c r="F39" i="1" s="1"/>
  <c r="F19" i="1"/>
  <c r="F17" i="3"/>
  <c r="H17" i="3" s="1"/>
  <c r="F5" i="3"/>
  <c r="H5" i="3" s="1"/>
  <c r="F6" i="3"/>
  <c r="F7" i="3"/>
  <c r="H7" i="3" s="1"/>
  <c r="F8" i="3"/>
  <c r="H8" i="3" s="1"/>
  <c r="F10" i="3"/>
  <c r="H10" i="3" s="1"/>
  <c r="F13" i="3"/>
  <c r="H13" i="3" s="1"/>
  <c r="F18" i="3"/>
  <c r="F19" i="3"/>
  <c r="F20" i="3"/>
  <c r="H20" i="3" s="1"/>
  <c r="F22" i="3"/>
  <c r="F23" i="3"/>
  <c r="F24" i="3"/>
  <c r="F25" i="3"/>
  <c r="H25" i="3" s="1"/>
  <c r="F26" i="3"/>
  <c r="H26" i="3" s="1"/>
  <c r="F27" i="3"/>
  <c r="F28" i="3"/>
  <c r="H6" i="3"/>
  <c r="H19" i="3"/>
  <c r="H22" i="3"/>
  <c r="H23" i="3"/>
  <c r="H24" i="3"/>
  <c r="H27" i="3"/>
  <c r="H28" i="3"/>
  <c r="F20" i="1"/>
  <c r="F18" i="1"/>
  <c r="F29" i="1"/>
  <c r="F43" i="1" s="1"/>
  <c r="F4" i="1"/>
  <c r="F23" i="1" l="1"/>
  <c r="F12" i="1"/>
  <c r="F11" i="1"/>
  <c r="E9" i="3"/>
  <c r="F37" i="1"/>
  <c r="F38" i="1"/>
  <c r="H18" i="3"/>
  <c r="E21" i="1"/>
  <c r="F21" i="1" s="1"/>
  <c r="G43" i="1"/>
  <c r="F26" i="1" l="1"/>
  <c r="E21" i="3"/>
  <c r="F21" i="3" s="1"/>
  <c r="F9" i="3"/>
  <c r="H9" i="3" l="1"/>
  <c r="H14" i="3" s="1"/>
  <c r="F14" i="3"/>
  <c r="H21" i="3"/>
  <c r="H29" i="3" s="1"/>
  <c r="F29" i="3"/>
  <c r="F28" i="1"/>
  <c r="I28" i="1" l="1"/>
  <c r="I19" i="1"/>
  <c r="I18" i="1"/>
  <c r="F30" i="1"/>
  <c r="I20" i="1"/>
  <c r="I17" i="1"/>
  <c r="I23" i="1"/>
  <c r="I21" i="1"/>
  <c r="F30" i="3"/>
  <c r="G36" i="1" s="1"/>
  <c r="F36" i="1" s="1"/>
  <c r="I26" i="1"/>
  <c r="H31" i="3"/>
  <c r="G33" i="1" s="1"/>
  <c r="G40" i="1" l="1"/>
  <c r="G42" i="1" s="1"/>
  <c r="G44" i="1" s="1"/>
  <c r="F33" i="1"/>
  <c r="F40" i="1" l="1"/>
  <c r="F42" i="1" l="1"/>
  <c r="H42" i="1" l="1"/>
  <c r="F44" i="1"/>
  <c r="F45" i="1" s="1"/>
  <c r="H18" i="1"/>
  <c r="H39" i="1"/>
  <c r="H19" i="1"/>
  <c r="H20" i="1"/>
  <c r="H17" i="1"/>
  <c r="H37" i="1"/>
  <c r="H38" i="1"/>
  <c r="H23" i="1"/>
  <c r="H21" i="1"/>
  <c r="H28" i="1"/>
  <c r="H36" i="1"/>
  <c r="H33" i="1"/>
  <c r="H40" i="1"/>
</calcChain>
</file>

<file path=xl/sharedStrings.xml><?xml version="1.0" encoding="utf-8"?>
<sst xmlns="http://schemas.openxmlformats.org/spreadsheetml/2006/main" count="124" uniqueCount="99">
  <si>
    <t>boots/waders</t>
  </si>
  <si>
    <t>building</t>
  </si>
  <si>
    <t>water system</t>
  </si>
  <si>
    <t>electric service</t>
  </si>
  <si>
    <t>seine</t>
  </si>
  <si>
    <t>totes</t>
  </si>
  <si>
    <t>buckets</t>
  </si>
  <si>
    <t>No.</t>
  </si>
  <si>
    <t>(annual)</t>
  </si>
  <si>
    <t>Total depreciation</t>
  </si>
  <si>
    <t xml:space="preserve">feed </t>
  </si>
  <si>
    <t>%</t>
  </si>
  <si>
    <t>Category</t>
  </si>
  <si>
    <t>Item</t>
  </si>
  <si>
    <t>Unit</t>
  </si>
  <si>
    <t>Unit cost</t>
  </si>
  <si>
    <t>No. of units</t>
  </si>
  <si>
    <t>Total cost</t>
  </si>
  <si>
    <t>Useful life</t>
  </si>
  <si>
    <t>Depreciation</t>
  </si>
  <si>
    <t>Total investment</t>
  </si>
  <si>
    <t>Miscellaneous</t>
  </si>
  <si>
    <t xml:space="preserve">interest on operating capital </t>
  </si>
  <si>
    <t>interest on investment</t>
  </si>
  <si>
    <t>r.e.taxes</t>
  </si>
  <si>
    <t>insurance</t>
  </si>
  <si>
    <t>repairs</t>
  </si>
  <si>
    <t>Subtotal</t>
  </si>
  <si>
    <t>(years)</t>
  </si>
  <si>
    <t>Facilities</t>
  </si>
  <si>
    <t>Equipment</t>
  </si>
  <si>
    <t>Total production costs</t>
  </si>
  <si>
    <t>Total operating cost</t>
  </si>
  <si>
    <t>each</t>
  </si>
  <si>
    <t>lb</t>
  </si>
  <si>
    <t>hr</t>
  </si>
  <si>
    <t>land cost</t>
  </si>
  <si>
    <t>(investment/useful life)</t>
  </si>
  <si>
    <t xml:space="preserve">well </t>
  </si>
  <si>
    <t>aeration system</t>
  </si>
  <si>
    <t>blower</t>
  </si>
  <si>
    <t>water pump</t>
  </si>
  <si>
    <t>tools</t>
  </si>
  <si>
    <t>acre</t>
  </si>
  <si>
    <t>asst</t>
  </si>
  <si>
    <t>% of total</t>
  </si>
  <si>
    <t>cost</t>
  </si>
  <si>
    <t>% of operating</t>
  </si>
  <si>
    <t>kwh</t>
  </si>
  <si>
    <t>balance</t>
  </si>
  <si>
    <t>d.o. meter</t>
  </si>
  <si>
    <t>feeder</t>
  </si>
  <si>
    <t>nets</t>
  </si>
  <si>
    <t>Inputs/Variables</t>
  </si>
  <si>
    <t>Number of eggs</t>
  </si>
  <si>
    <t>Number of fry</t>
  </si>
  <si>
    <t>Number of trained fingerlings</t>
  </si>
  <si>
    <t>salt</t>
  </si>
  <si>
    <t>labor (semi-skilled, $10.00 + 25%)</t>
  </si>
  <si>
    <t>choose 2, 2.5, 3, 3.5, 4 in</t>
  </si>
  <si>
    <t>fing size</t>
  </si>
  <si>
    <t>days</t>
  </si>
  <si>
    <t>Length of trained fingerlings</t>
  </si>
  <si>
    <t>Weight of trained fingerlings</t>
  </si>
  <si>
    <t>wgt</t>
  </si>
  <si>
    <t>Feed training  costs</t>
  </si>
  <si>
    <t>(flow-through tanks)</t>
  </si>
  <si>
    <t>Training tank volume (gal)</t>
  </si>
  <si>
    <t>Training success (%)</t>
  </si>
  <si>
    <t>Training period (days)</t>
  </si>
  <si>
    <t>Hatch success (%)</t>
  </si>
  <si>
    <t>Training feed conversion</t>
  </si>
  <si>
    <t>Well water temperature (°F)</t>
  </si>
  <si>
    <t>Culture water temperature (°F)</t>
  </si>
  <si>
    <t>therm</t>
  </si>
  <si>
    <t>Units of hot water (gas)</t>
  </si>
  <si>
    <t>Units of hot water (electric)</t>
  </si>
  <si>
    <t>Water changes/hr</t>
  </si>
  <si>
    <t>for pond-tank culture period</t>
  </si>
  <si>
    <t>Production (fingerlings)</t>
  </si>
  <si>
    <t>Breakeven operating cost per inch</t>
  </si>
  <si>
    <t>tanks (60 gal)</t>
  </si>
  <si>
    <t>Breakeven total cost per in.</t>
  </si>
  <si>
    <t>Annualized cost</t>
  </si>
  <si>
    <t>Ownership costs</t>
  </si>
  <si>
    <t>Total ownership cost</t>
  </si>
  <si>
    <t>hot water (gas) from F14</t>
  </si>
  <si>
    <t>hot water (electric) from F15</t>
  </si>
  <si>
    <t>total depreciation</t>
  </si>
  <si>
    <t>Training tank stocking rate (fry/gal)</t>
  </si>
  <si>
    <t>Breakeven cost for feed trained walleye (and hybrid) fingerlings (tank culture)</t>
  </si>
  <si>
    <t>choose F11 or F12</t>
  </si>
  <si>
    <t>to fill E19 or E20</t>
  </si>
  <si>
    <t>Cycle cost</t>
  </si>
  <si>
    <t>clay system and clay</t>
  </si>
  <si>
    <t>water heater</t>
  </si>
  <si>
    <t>Labor hours per day</t>
  </si>
  <si>
    <t>Breakeven total cost per fingerling</t>
  </si>
  <si>
    <t>tankfing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</si>
</sst>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.00;[Red]\-&quot;$&quot;#,##0.00"/>
    <numFmt numFmtId="165" formatCode="0.0"/>
    <numFmt numFmtId="166" formatCode="&quot;$&quot;#,##0.00"/>
    <numFmt numFmtId="167" formatCode="&quot;$&quot;#,##0"/>
    <numFmt numFmtId="168" formatCode="&quot;$&quot;#,##0.0000"/>
    <numFmt numFmtId="169" formatCode="#,##0_ ;[Red]\-#,##0\ "/>
  </numFmts>
  <fonts count="7">
    <font>
      <sz val="9"/>
      <name val="Geneva"/>
    </font>
    <font>
      <sz val="8"/>
      <name val="Geneva"/>
    </font>
    <font>
      <sz val="9"/>
      <name val="Calibri"/>
      <scheme val="minor"/>
    </font>
    <font>
      <u/>
      <sz val="9"/>
      <color theme="10"/>
      <name val="Geneva"/>
    </font>
    <font>
      <u/>
      <sz val="9"/>
      <color theme="11"/>
      <name val="Geneva"/>
    </font>
    <font>
      <sz val="16"/>
      <name val="Calibri"/>
      <scheme val="minor"/>
    </font>
    <font>
      <sz val="9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6" fontId="2" fillId="0" borderId="0" xfId="0" applyNumberFormat="1" applyFont="1"/>
    <xf numFmtId="167" fontId="2" fillId="0" borderId="0" xfId="0" applyNumberFormat="1" applyFont="1"/>
    <xf numFmtId="3" fontId="2" fillId="0" borderId="0" xfId="0" applyNumberFormat="1" applyFont="1"/>
    <xf numFmtId="165" fontId="2" fillId="0" borderId="0" xfId="0" applyNumberFormat="1" applyFont="1"/>
    <xf numFmtId="167" fontId="2" fillId="0" borderId="2" xfId="0" applyNumberFormat="1" applyFont="1" applyBorder="1"/>
    <xf numFmtId="2" fontId="2" fillId="0" borderId="0" xfId="0" applyNumberFormat="1" applyFont="1"/>
    <xf numFmtId="10" fontId="2" fillId="0" borderId="0" xfId="0" applyNumberFormat="1" applyFont="1"/>
    <xf numFmtId="0" fontId="2" fillId="0" borderId="0" xfId="0" quotePrefix="1" applyFont="1"/>
    <xf numFmtId="0" fontId="5" fillId="0" borderId="0" xfId="0" applyFont="1"/>
    <xf numFmtId="3" fontId="2" fillId="2" borderId="2" xfId="0" applyNumberFormat="1" applyFont="1" applyFill="1" applyBorder="1"/>
    <xf numFmtId="3" fontId="2" fillId="0" borderId="2" xfId="0" applyNumberFormat="1" applyFont="1" applyBorder="1"/>
    <xf numFmtId="0" fontId="2" fillId="0" borderId="4" xfId="0" applyFont="1" applyBorder="1"/>
    <xf numFmtId="0" fontId="2" fillId="0" borderId="6" xfId="0" applyFont="1" applyBorder="1"/>
    <xf numFmtId="0" fontId="2" fillId="2" borderId="7" xfId="0" applyFont="1" applyFill="1" applyBorder="1"/>
    <xf numFmtId="0" fontId="2" fillId="0" borderId="8" xfId="0" applyFont="1" applyBorder="1"/>
    <xf numFmtId="0" fontId="2" fillId="2" borderId="9" xfId="0" applyFont="1" applyFill="1" applyBorder="1"/>
    <xf numFmtId="0" fontId="2" fillId="2" borderId="5" xfId="0" applyFont="1" applyFill="1" applyBorder="1"/>
    <xf numFmtId="0" fontId="2" fillId="0" borderId="7" xfId="0" applyFont="1" applyBorder="1"/>
    <xf numFmtId="0" fontId="2" fillId="0" borderId="9" xfId="0" applyFont="1" applyBorder="1"/>
    <xf numFmtId="3" fontId="2" fillId="0" borderId="7" xfId="0" applyNumberFormat="1" applyFont="1" applyBorder="1"/>
    <xf numFmtId="3" fontId="2" fillId="2" borderId="9" xfId="0" applyNumberFormat="1" applyFont="1" applyFill="1" applyBorder="1"/>
    <xf numFmtId="1" fontId="2" fillId="0" borderId="5" xfId="0" applyNumberFormat="1" applyFont="1" applyBorder="1"/>
    <xf numFmtId="0" fontId="2" fillId="0" borderId="0" xfId="0" applyFont="1" applyAlignment="1">
      <alignment horizontal="right"/>
    </xf>
    <xf numFmtId="0" fontId="2" fillId="2" borderId="9" xfId="0" applyFont="1" applyFill="1" applyBorder="1" applyAlignment="1">
      <alignment horizontal="right"/>
    </xf>
    <xf numFmtId="166" fontId="2" fillId="2" borderId="2" xfId="0" applyNumberFormat="1" applyFont="1" applyFill="1" applyBorder="1"/>
    <xf numFmtId="164" fontId="2" fillId="2" borderId="2" xfId="0" applyNumberFormat="1" applyFont="1" applyFill="1" applyBorder="1"/>
    <xf numFmtId="165" fontId="2" fillId="0" borderId="2" xfId="0" applyNumberFormat="1" applyFont="1" applyBorder="1"/>
    <xf numFmtId="168" fontId="2" fillId="3" borderId="3" xfId="0" applyNumberFormat="1" applyFont="1" applyFill="1" applyBorder="1"/>
    <xf numFmtId="0" fontId="2" fillId="0" borderId="0" xfId="0" applyFont="1" applyAlignment="1">
      <alignment horizontal="left"/>
    </xf>
    <xf numFmtId="167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7" fontId="2" fillId="0" borderId="2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/>
    </xf>
    <xf numFmtId="167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168" fontId="2" fillId="0" borderId="0" xfId="0" applyNumberFormat="1" applyFont="1"/>
    <xf numFmtId="167" fontId="2" fillId="2" borderId="0" xfId="0" applyNumberFormat="1" applyFont="1" applyFill="1"/>
    <xf numFmtId="0" fontId="2" fillId="2" borderId="0" xfId="0" applyFont="1" applyFill="1" applyAlignment="1">
      <alignment horizontal="center"/>
    </xf>
    <xf numFmtId="3" fontId="2" fillId="4" borderId="2" xfId="0" applyNumberFormat="1" applyFont="1" applyFill="1" applyBorder="1"/>
    <xf numFmtId="169" fontId="2" fillId="4" borderId="5" xfId="0" applyNumberFormat="1" applyFont="1" applyFill="1" applyBorder="1" applyAlignment="1">
      <alignment horizontal="right"/>
    </xf>
    <xf numFmtId="3" fontId="2" fillId="4" borderId="9" xfId="0" applyNumberFormat="1" applyFont="1" applyFill="1" applyBorder="1"/>
    <xf numFmtId="0" fontId="6" fillId="0" borderId="0" xfId="0" applyFont="1" applyAlignment="1">
      <alignment horizontal="left"/>
    </xf>
    <xf numFmtId="167" fontId="6" fillId="5" borderId="0" xfId="0" applyNumberFormat="1" applyFont="1" applyFill="1" applyAlignment="1">
      <alignment horizontal="right"/>
    </xf>
    <xf numFmtId="0" fontId="6" fillId="5" borderId="0" xfId="0" applyFont="1" applyFill="1" applyAlignment="1">
      <alignment horizontal="right"/>
    </xf>
    <xf numFmtId="167" fontId="6" fillId="0" borderId="0" xfId="0" applyNumberFormat="1" applyFont="1" applyAlignment="1">
      <alignment horizontal="right"/>
    </xf>
    <xf numFmtId="0" fontId="6" fillId="5" borderId="0" xfId="0" applyFont="1" applyFill="1" applyAlignment="1">
      <alignment horizontal="center"/>
    </xf>
    <xf numFmtId="3" fontId="6" fillId="0" borderId="0" xfId="0" applyNumberFormat="1" applyFont="1" applyAlignment="1">
      <alignment horizontal="right"/>
    </xf>
    <xf numFmtId="166" fontId="2" fillId="3" borderId="3" xfId="0" applyNumberFormat="1" applyFont="1" applyFill="1" applyBorder="1"/>
    <xf numFmtId="0" fontId="0" fillId="6" borderId="0" xfId="0" applyFill="1"/>
  </cellXfs>
  <cellStyles count="5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32"/>
  <sheetViews>
    <sheetView topLeftCell="A20" zoomScale="125" zoomScaleNormal="125" zoomScalePageLayoutView="125" workbookViewId="0">
      <selection activeCell="J14" sqref="J14"/>
    </sheetView>
  </sheetViews>
  <sheetFormatPr defaultColWidth="10.85546875" defaultRowHeight="12"/>
  <cols>
    <col min="1" max="1" width="12.85546875" style="2" bestFit="1" customWidth="1"/>
    <col min="2" max="2" width="14" style="2" bestFit="1" customWidth="1"/>
    <col min="3" max="3" width="6.85546875" style="2" bestFit="1" customWidth="1"/>
    <col min="4" max="4" width="8.42578125" style="2" bestFit="1" customWidth="1"/>
    <col min="5" max="5" width="6.7109375" style="2" bestFit="1" customWidth="1"/>
    <col min="6" max="6" width="9.28515625" style="2" bestFit="1" customWidth="1"/>
    <col min="7" max="7" width="7.85546875" style="2" bestFit="1" customWidth="1"/>
    <col min="8" max="8" width="9.28515625" style="2" bestFit="1" customWidth="1"/>
    <col min="9" max="16384" width="10.85546875" style="2"/>
  </cols>
  <sheetData>
    <row r="3" spans="1:8">
      <c r="A3" s="3" t="s">
        <v>12</v>
      </c>
      <c r="B3" s="3" t="s">
        <v>13</v>
      </c>
      <c r="C3" s="3" t="s">
        <v>14</v>
      </c>
      <c r="D3" s="3" t="s">
        <v>15</v>
      </c>
      <c r="E3" s="3" t="s">
        <v>7</v>
      </c>
      <c r="F3" s="3" t="s">
        <v>17</v>
      </c>
      <c r="G3" s="3" t="s">
        <v>18</v>
      </c>
      <c r="H3" s="3" t="s">
        <v>19</v>
      </c>
    </row>
    <row r="4" spans="1:8">
      <c r="A4" s="32" t="s">
        <v>29</v>
      </c>
      <c r="B4" s="32"/>
      <c r="C4" s="32"/>
      <c r="G4" s="2" t="s">
        <v>28</v>
      </c>
      <c r="H4" s="2" t="s">
        <v>8</v>
      </c>
    </row>
    <row r="5" spans="1:8">
      <c r="A5" s="32"/>
      <c r="B5" s="32" t="s">
        <v>36</v>
      </c>
      <c r="C5" s="32" t="s">
        <v>43</v>
      </c>
      <c r="D5" s="38">
        <v>3500</v>
      </c>
      <c r="E5" s="34">
        <v>1</v>
      </c>
      <c r="F5" s="33">
        <f t="shared" ref="F5:F13" si="0">D5*E5</f>
        <v>3500</v>
      </c>
      <c r="H5" s="34">
        <f>F5*-0.05</f>
        <v>-175</v>
      </c>
    </row>
    <row r="6" spans="1:8">
      <c r="A6" s="32"/>
      <c r="B6" s="32" t="s">
        <v>38</v>
      </c>
      <c r="C6" s="32"/>
      <c r="D6" s="38">
        <v>10000</v>
      </c>
      <c r="E6" s="34">
        <v>1</v>
      </c>
      <c r="F6" s="33">
        <f t="shared" si="0"/>
        <v>10000</v>
      </c>
      <c r="G6" s="42">
        <v>50</v>
      </c>
      <c r="H6" s="34">
        <f t="shared" ref="H6:H13" si="1">F6/G6</f>
        <v>200</v>
      </c>
    </row>
    <row r="7" spans="1:8">
      <c r="A7" s="32"/>
      <c r="B7" s="32" t="s">
        <v>39</v>
      </c>
      <c r="C7" s="32" t="s">
        <v>33</v>
      </c>
      <c r="D7" s="38">
        <v>150</v>
      </c>
      <c r="E7" s="34">
        <v>1</v>
      </c>
      <c r="F7" s="33">
        <f t="shared" si="0"/>
        <v>150</v>
      </c>
      <c r="G7" s="42">
        <v>25</v>
      </c>
      <c r="H7" s="34">
        <f t="shared" si="1"/>
        <v>6</v>
      </c>
    </row>
    <row r="8" spans="1:8">
      <c r="A8" s="32"/>
      <c r="B8" s="32" t="s">
        <v>1</v>
      </c>
      <c r="C8" s="32"/>
      <c r="D8" s="38">
        <v>20000</v>
      </c>
      <c r="E8" s="26">
        <v>1</v>
      </c>
      <c r="F8" s="33">
        <f t="shared" si="0"/>
        <v>20000</v>
      </c>
      <c r="G8" s="42">
        <v>50</v>
      </c>
      <c r="H8" s="34">
        <f t="shared" si="1"/>
        <v>400</v>
      </c>
    </row>
    <row r="9" spans="1:8">
      <c r="A9" s="32"/>
      <c r="B9" s="32" t="s">
        <v>81</v>
      </c>
      <c r="C9" s="32" t="s">
        <v>33</v>
      </c>
      <c r="D9" s="38">
        <v>146</v>
      </c>
      <c r="E9" s="37">
        <f>analysis!C3/60</f>
        <v>23.148148148148149</v>
      </c>
      <c r="F9" s="33">
        <f t="shared" si="0"/>
        <v>3379.6296296296296</v>
      </c>
      <c r="G9" s="42">
        <v>25</v>
      </c>
      <c r="H9" s="34">
        <f t="shared" si="1"/>
        <v>135.18518518518519</v>
      </c>
    </row>
    <row r="10" spans="1:8">
      <c r="A10" s="32"/>
      <c r="B10" s="32" t="s">
        <v>2</v>
      </c>
      <c r="D10" s="38">
        <v>1500</v>
      </c>
      <c r="E10" s="26">
        <v>1</v>
      </c>
      <c r="F10" s="33">
        <f t="shared" si="0"/>
        <v>1500</v>
      </c>
      <c r="G10" s="42">
        <v>25</v>
      </c>
      <c r="H10" s="34">
        <f t="shared" si="1"/>
        <v>60</v>
      </c>
    </row>
    <row r="11" spans="1:8">
      <c r="A11" s="46"/>
      <c r="B11" s="46" t="s">
        <v>94</v>
      </c>
      <c r="C11" s="46" t="s">
        <v>33</v>
      </c>
      <c r="D11" s="47">
        <v>1000</v>
      </c>
      <c r="E11" s="48">
        <v>1</v>
      </c>
      <c r="F11" s="49">
        <v>1000</v>
      </c>
      <c r="G11" s="50">
        <v>5</v>
      </c>
      <c r="H11" s="51">
        <v>200</v>
      </c>
    </row>
    <row r="12" spans="1:8">
      <c r="A12" s="46"/>
      <c r="B12" s="46" t="s">
        <v>95</v>
      </c>
      <c r="C12" s="46" t="s">
        <v>33</v>
      </c>
      <c r="D12" s="47">
        <v>2000</v>
      </c>
      <c r="E12" s="48">
        <v>1</v>
      </c>
      <c r="F12" s="49">
        <v>1000</v>
      </c>
      <c r="G12" s="50">
        <v>10</v>
      </c>
      <c r="H12" s="51">
        <v>200</v>
      </c>
    </row>
    <row r="13" spans="1:8">
      <c r="A13" s="32"/>
      <c r="B13" s="32" t="s">
        <v>3</v>
      </c>
      <c r="C13" s="32"/>
      <c r="D13" s="38">
        <v>8000</v>
      </c>
      <c r="E13" s="26">
        <v>1</v>
      </c>
      <c r="F13" s="33">
        <f t="shared" si="0"/>
        <v>8000</v>
      </c>
      <c r="G13" s="42">
        <v>25</v>
      </c>
      <c r="H13" s="34">
        <f t="shared" si="1"/>
        <v>320</v>
      </c>
    </row>
    <row r="14" spans="1:8">
      <c r="A14" s="32"/>
      <c r="B14" s="32" t="s">
        <v>27</v>
      </c>
      <c r="C14" s="32"/>
      <c r="D14" s="33"/>
      <c r="E14" s="26"/>
      <c r="F14" s="35">
        <f>SUM(F5:F13)</f>
        <v>48529.629629629628</v>
      </c>
      <c r="H14" s="36">
        <f>SUM(H5:H13)</f>
        <v>1346.1851851851852</v>
      </c>
    </row>
    <row r="15" spans="1:8">
      <c r="A15" s="32"/>
      <c r="B15" s="32"/>
      <c r="C15" s="32"/>
      <c r="D15" s="33"/>
      <c r="E15" s="26"/>
      <c r="F15" s="33"/>
      <c r="H15" s="34"/>
    </row>
    <row r="16" spans="1:8" ht="11.1" customHeight="1">
      <c r="A16" s="32" t="s">
        <v>30</v>
      </c>
      <c r="B16" s="32"/>
      <c r="C16" s="32"/>
      <c r="D16" s="33"/>
      <c r="E16" s="26"/>
      <c r="F16" s="33"/>
      <c r="H16" s="34"/>
    </row>
    <row r="17" spans="1:8">
      <c r="A17" s="32"/>
      <c r="B17" s="32" t="s">
        <v>94</v>
      </c>
      <c r="C17" s="32" t="s">
        <v>33</v>
      </c>
      <c r="D17" s="38">
        <v>1000</v>
      </c>
      <c r="E17" s="39">
        <v>1</v>
      </c>
      <c r="F17" s="33">
        <f t="shared" ref="F17:F28" si="2">D17*E17</f>
        <v>1000</v>
      </c>
      <c r="G17" s="42">
        <v>5</v>
      </c>
      <c r="H17" s="34">
        <f t="shared" ref="H17:H28" si="3">F17/G17</f>
        <v>200</v>
      </c>
    </row>
    <row r="18" spans="1:8">
      <c r="A18" s="32"/>
      <c r="B18" s="32" t="s">
        <v>40</v>
      </c>
      <c r="C18" s="32" t="s">
        <v>33</v>
      </c>
      <c r="D18" s="38">
        <v>500</v>
      </c>
      <c r="E18" s="39">
        <v>2</v>
      </c>
      <c r="F18" s="33">
        <f t="shared" si="2"/>
        <v>1000</v>
      </c>
      <c r="G18" s="42">
        <v>5</v>
      </c>
      <c r="H18" s="34">
        <f t="shared" si="3"/>
        <v>200</v>
      </c>
    </row>
    <row r="19" spans="1:8">
      <c r="A19" s="32"/>
      <c r="B19" s="32" t="s">
        <v>41</v>
      </c>
      <c r="C19" s="32" t="s">
        <v>33</v>
      </c>
      <c r="D19" s="38">
        <v>200</v>
      </c>
      <c r="E19" s="39">
        <v>2</v>
      </c>
      <c r="F19" s="33">
        <f t="shared" si="2"/>
        <v>400</v>
      </c>
      <c r="G19" s="42">
        <v>5</v>
      </c>
      <c r="H19" s="34">
        <f t="shared" si="3"/>
        <v>80</v>
      </c>
    </row>
    <row r="20" spans="1:8">
      <c r="A20" s="32"/>
      <c r="B20" s="32" t="s">
        <v>50</v>
      </c>
      <c r="C20" s="32" t="s">
        <v>33</v>
      </c>
      <c r="D20" s="38">
        <v>500</v>
      </c>
      <c r="E20" s="39">
        <v>1</v>
      </c>
      <c r="F20" s="33">
        <f t="shared" si="2"/>
        <v>500</v>
      </c>
      <c r="G20" s="42">
        <v>5</v>
      </c>
      <c r="H20" s="34">
        <f t="shared" si="3"/>
        <v>100</v>
      </c>
    </row>
    <row r="21" spans="1:8">
      <c r="A21" s="32"/>
      <c r="B21" s="32" t="s">
        <v>51</v>
      </c>
      <c r="C21" s="32" t="s">
        <v>33</v>
      </c>
      <c r="D21" s="38">
        <v>200</v>
      </c>
      <c r="E21" s="37">
        <f>E9</f>
        <v>23.148148148148149</v>
      </c>
      <c r="F21" s="33">
        <f t="shared" si="2"/>
        <v>4629.6296296296296</v>
      </c>
      <c r="G21" s="42">
        <v>5</v>
      </c>
      <c r="H21" s="34">
        <f t="shared" si="3"/>
        <v>925.92592592592587</v>
      </c>
    </row>
    <row r="22" spans="1:8">
      <c r="A22" s="32"/>
      <c r="B22" s="32" t="s">
        <v>49</v>
      </c>
      <c r="C22" s="32" t="s">
        <v>33</v>
      </c>
      <c r="D22" s="38">
        <v>200</v>
      </c>
      <c r="E22" s="39">
        <v>1</v>
      </c>
      <c r="F22" s="33">
        <f t="shared" si="2"/>
        <v>200</v>
      </c>
      <c r="G22" s="42">
        <v>5</v>
      </c>
      <c r="H22" s="34">
        <f t="shared" si="3"/>
        <v>40</v>
      </c>
    </row>
    <row r="23" spans="1:8">
      <c r="A23" s="32"/>
      <c r="B23" s="32" t="s">
        <v>52</v>
      </c>
      <c r="C23" s="32" t="s">
        <v>33</v>
      </c>
      <c r="D23" s="38">
        <v>25</v>
      </c>
      <c r="E23" s="39">
        <v>6</v>
      </c>
      <c r="F23" s="33">
        <f t="shared" si="2"/>
        <v>150</v>
      </c>
      <c r="G23" s="42">
        <v>3</v>
      </c>
      <c r="H23" s="34">
        <f t="shared" si="3"/>
        <v>50</v>
      </c>
    </row>
    <row r="24" spans="1:8">
      <c r="A24" s="32"/>
      <c r="B24" s="32" t="s">
        <v>0</v>
      </c>
      <c r="C24" s="32" t="s">
        <v>33</v>
      </c>
      <c r="D24" s="38">
        <v>50</v>
      </c>
      <c r="E24" s="39">
        <v>3</v>
      </c>
      <c r="F24" s="33">
        <f t="shared" si="2"/>
        <v>150</v>
      </c>
      <c r="G24" s="42">
        <v>1</v>
      </c>
      <c r="H24" s="34">
        <f t="shared" si="3"/>
        <v>150</v>
      </c>
    </row>
    <row r="25" spans="1:8">
      <c r="A25" s="32"/>
      <c r="B25" s="32" t="s">
        <v>4</v>
      </c>
      <c r="C25" s="32" t="s">
        <v>33</v>
      </c>
      <c r="D25" s="38">
        <v>1000</v>
      </c>
      <c r="E25" s="39">
        <v>1</v>
      </c>
      <c r="F25" s="33">
        <f t="shared" si="2"/>
        <v>1000</v>
      </c>
      <c r="G25" s="42">
        <v>10</v>
      </c>
      <c r="H25" s="34">
        <f t="shared" si="3"/>
        <v>100</v>
      </c>
    </row>
    <row r="26" spans="1:8">
      <c r="A26" s="32"/>
      <c r="B26" s="32" t="s">
        <v>5</v>
      </c>
      <c r="C26" s="32" t="s">
        <v>33</v>
      </c>
      <c r="D26" s="38">
        <v>5</v>
      </c>
      <c r="E26" s="39">
        <v>10</v>
      </c>
      <c r="F26" s="33">
        <f t="shared" si="2"/>
        <v>50</v>
      </c>
      <c r="G26" s="42">
        <v>3</v>
      </c>
      <c r="H26" s="34">
        <f t="shared" si="3"/>
        <v>16.666666666666668</v>
      </c>
    </row>
    <row r="27" spans="1:8">
      <c r="A27" s="32"/>
      <c r="B27" s="32" t="s">
        <v>6</v>
      </c>
      <c r="C27" s="32" t="s">
        <v>33</v>
      </c>
      <c r="D27" s="38">
        <v>2</v>
      </c>
      <c r="E27" s="39">
        <v>10</v>
      </c>
      <c r="F27" s="33">
        <f t="shared" si="2"/>
        <v>20</v>
      </c>
      <c r="G27" s="42">
        <v>3</v>
      </c>
      <c r="H27" s="34">
        <f t="shared" si="3"/>
        <v>6.666666666666667</v>
      </c>
    </row>
    <row r="28" spans="1:8">
      <c r="A28" s="32"/>
      <c r="B28" s="32" t="s">
        <v>42</v>
      </c>
      <c r="C28" s="32" t="s">
        <v>33</v>
      </c>
      <c r="D28" s="38">
        <v>300</v>
      </c>
      <c r="E28" s="39">
        <v>1</v>
      </c>
      <c r="F28" s="33">
        <f t="shared" si="2"/>
        <v>300</v>
      </c>
      <c r="G28" s="42">
        <v>10</v>
      </c>
      <c r="H28" s="34">
        <f t="shared" si="3"/>
        <v>30</v>
      </c>
    </row>
    <row r="29" spans="1:8">
      <c r="A29" s="32"/>
      <c r="B29" s="32" t="s">
        <v>27</v>
      </c>
      <c r="C29" s="32" t="s">
        <v>44</v>
      </c>
      <c r="E29" s="26"/>
      <c r="F29" s="33">
        <f>SUM(F18:F28)</f>
        <v>8399.6296296296296</v>
      </c>
      <c r="H29" s="34">
        <f>SUM(H18:H28)</f>
        <v>1699.2592592592594</v>
      </c>
    </row>
    <row r="30" spans="1:8">
      <c r="A30" s="32" t="s">
        <v>20</v>
      </c>
      <c r="B30" s="32"/>
      <c r="C30" s="32"/>
      <c r="F30" s="35">
        <f>F14+F29</f>
        <v>56929.259259259255</v>
      </c>
      <c r="H30" s="34"/>
    </row>
    <row r="31" spans="1:8">
      <c r="A31" s="32" t="s">
        <v>9</v>
      </c>
      <c r="B31" s="32"/>
      <c r="C31" s="32"/>
      <c r="F31" s="26"/>
      <c r="H31" s="36">
        <f>H14+H29</f>
        <v>3045.4444444444443</v>
      </c>
    </row>
    <row r="32" spans="1:8">
      <c r="A32" s="32"/>
      <c r="C32" s="32"/>
    </row>
  </sheetData>
  <phoneticPr fontId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6"/>
  <sheetViews>
    <sheetView tabSelected="1" zoomScale="125" zoomScaleNormal="125" zoomScalePageLayoutView="125" workbookViewId="0">
      <selection activeCell="D20" sqref="D20"/>
    </sheetView>
  </sheetViews>
  <sheetFormatPr defaultColWidth="10.85546875" defaultRowHeight="12"/>
  <cols>
    <col min="1" max="1" width="22.28515625" style="1" customWidth="1"/>
    <col min="2" max="2" width="22.42578125" style="1" customWidth="1"/>
    <col min="3" max="3" width="6.42578125" style="1" customWidth="1"/>
    <col min="4" max="4" width="7.85546875" style="1" bestFit="1" customWidth="1"/>
    <col min="5" max="5" width="19.28515625" style="1" customWidth="1"/>
    <col min="6" max="6" width="8.42578125" style="1" customWidth="1"/>
    <col min="7" max="7" width="11.140625" style="1" customWidth="1"/>
    <col min="8" max="8" width="7.28515625" style="1" bestFit="1" customWidth="1"/>
    <col min="9" max="9" width="10.42578125" style="1" bestFit="1" customWidth="1"/>
    <col min="10" max="16384" width="10.85546875" style="1"/>
  </cols>
  <sheetData>
    <row r="1" spans="1:9" ht="21.95" customHeight="1">
      <c r="A1" s="12" t="s">
        <v>90</v>
      </c>
    </row>
    <row r="2" spans="1:9" ht="12.75" thickBot="1">
      <c r="A2" s="1" t="s">
        <v>53</v>
      </c>
    </row>
    <row r="3" spans="1:9">
      <c r="B3" s="15" t="s">
        <v>67</v>
      </c>
      <c r="C3" s="25">
        <f>F5/C4</f>
        <v>1388.8888888888889</v>
      </c>
      <c r="E3" s="15" t="s">
        <v>70</v>
      </c>
      <c r="F3" s="20">
        <v>80</v>
      </c>
    </row>
    <row r="4" spans="1:9">
      <c r="B4" s="16" t="s">
        <v>89</v>
      </c>
      <c r="C4" s="17">
        <v>180</v>
      </c>
      <c r="E4" s="16" t="s">
        <v>54</v>
      </c>
      <c r="F4" s="23">
        <f>F5*(100/F3)</f>
        <v>312500</v>
      </c>
      <c r="G4" s="6"/>
    </row>
    <row r="5" spans="1:9">
      <c r="B5" s="16" t="s">
        <v>68</v>
      </c>
      <c r="C5" s="17">
        <v>20</v>
      </c>
      <c r="E5" s="16" t="s">
        <v>55</v>
      </c>
      <c r="F5" s="23">
        <f>F6*(100/C5)</f>
        <v>250000</v>
      </c>
      <c r="G5" s="6"/>
    </row>
    <row r="6" spans="1:9" ht="12.75" thickBot="1">
      <c r="B6" s="16" t="s">
        <v>69</v>
      </c>
      <c r="C6" s="21">
        <f>LOOKUP(F8,values!B4:B14,values!C4:C14)</f>
        <v>74</v>
      </c>
      <c r="E6" s="18" t="s">
        <v>56</v>
      </c>
      <c r="F6" s="24">
        <v>50000</v>
      </c>
      <c r="G6" s="6"/>
    </row>
    <row r="7" spans="1:9">
      <c r="B7" s="16" t="s">
        <v>96</v>
      </c>
      <c r="C7" s="17">
        <v>8</v>
      </c>
      <c r="G7" s="6"/>
    </row>
    <row r="8" spans="1:9" ht="12.75" thickBot="1">
      <c r="B8" s="18" t="s">
        <v>71</v>
      </c>
      <c r="C8" s="19">
        <v>3</v>
      </c>
      <c r="E8" s="16" t="s">
        <v>62</v>
      </c>
      <c r="F8" s="17">
        <v>3.5</v>
      </c>
      <c r="G8" s="1" t="s">
        <v>59</v>
      </c>
    </row>
    <row r="9" spans="1:9" ht="12.75" thickBot="1">
      <c r="E9" s="18" t="s">
        <v>63</v>
      </c>
      <c r="F9" s="22">
        <f>LOOKUP(F8,values!B4:B14,values!D4:D14)</f>
        <v>5.85</v>
      </c>
    </row>
    <row r="10" spans="1:9" ht="12.75" thickBot="1">
      <c r="B10" s="15" t="s">
        <v>72</v>
      </c>
      <c r="C10" s="20">
        <v>52</v>
      </c>
    </row>
    <row r="11" spans="1:9">
      <c r="B11" s="16" t="s">
        <v>73</v>
      </c>
      <c r="C11" s="17">
        <v>65</v>
      </c>
      <c r="E11" s="15" t="s">
        <v>75</v>
      </c>
      <c r="F11" s="44">
        <f>((C11-C10)*C3*C6*C12*24*0.00020238)*(D19/0.93)</f>
        <v>3244.8259999999996</v>
      </c>
      <c r="G11" s="1" t="s">
        <v>91</v>
      </c>
    </row>
    <row r="12" spans="1:9" ht="12.75" thickBot="1">
      <c r="B12" s="18" t="s">
        <v>77</v>
      </c>
      <c r="C12" s="27">
        <v>0.5</v>
      </c>
      <c r="E12" s="18" t="s">
        <v>76</v>
      </c>
      <c r="F12" s="45">
        <f>((C11-C10)*C3*C6*C12*24*0.0002896)*(D20/0.09)</f>
        <v>4643.2533333333331</v>
      </c>
      <c r="G12" s="1" t="s">
        <v>92</v>
      </c>
    </row>
    <row r="14" spans="1:9">
      <c r="A14" s="2"/>
      <c r="D14" s="2"/>
      <c r="E14" s="2"/>
      <c r="F14" s="2"/>
      <c r="G14" s="2"/>
      <c r="H14" s="2" t="s">
        <v>45</v>
      </c>
      <c r="I14" s="2" t="s">
        <v>47</v>
      </c>
    </row>
    <row r="15" spans="1:9">
      <c r="A15" s="3" t="s">
        <v>12</v>
      </c>
      <c r="B15" s="3" t="s">
        <v>13</v>
      </c>
      <c r="C15" s="3" t="s">
        <v>14</v>
      </c>
      <c r="D15" s="3" t="s">
        <v>15</v>
      </c>
      <c r="E15" s="3" t="s">
        <v>16</v>
      </c>
      <c r="F15" s="3" t="s">
        <v>93</v>
      </c>
      <c r="G15" s="3" t="s">
        <v>83</v>
      </c>
      <c r="H15" s="3" t="s">
        <v>46</v>
      </c>
      <c r="I15" s="3" t="s">
        <v>46</v>
      </c>
    </row>
    <row r="16" spans="1:9">
      <c r="A16" s="1" t="s">
        <v>65</v>
      </c>
    </row>
    <row r="17" spans="1:9">
      <c r="A17" s="1" t="s">
        <v>66</v>
      </c>
      <c r="B17" s="1" t="s">
        <v>10</v>
      </c>
      <c r="C17" s="1" t="s">
        <v>34</v>
      </c>
      <c r="D17" s="28">
        <v>1</v>
      </c>
      <c r="E17" s="14">
        <f>(F6*(F9*C8)/454)</f>
        <v>1932.8193832599115</v>
      </c>
      <c r="F17" s="8">
        <f>D17*E17</f>
        <v>1932.8193832599115</v>
      </c>
      <c r="G17" s="5"/>
      <c r="H17" s="7">
        <f>F17*100/F42</f>
        <v>11.146750894679936</v>
      </c>
      <c r="I17" s="7">
        <f>F17*100/F28</f>
        <v>14.947166174545682</v>
      </c>
    </row>
    <row r="18" spans="1:9">
      <c r="B18" s="1" t="s">
        <v>57</v>
      </c>
      <c r="C18" s="1" t="s">
        <v>34</v>
      </c>
      <c r="D18" s="28">
        <v>0.37</v>
      </c>
      <c r="E18" s="13">
        <v>500</v>
      </c>
      <c r="F18" s="8">
        <f>D18*E18</f>
        <v>185</v>
      </c>
      <c r="G18" s="5"/>
      <c r="H18" s="7">
        <f>F18*100/F42</f>
        <v>1.0669123733836672</v>
      </c>
      <c r="I18" s="7">
        <f>F18*100/F28</f>
        <v>1.4306695008548058</v>
      </c>
    </row>
    <row r="19" spans="1:9">
      <c r="B19" s="1" t="s">
        <v>86</v>
      </c>
      <c r="C19" s="1" t="s">
        <v>74</v>
      </c>
      <c r="D19" s="29">
        <v>0.93</v>
      </c>
      <c r="E19" s="43">
        <v>3245</v>
      </c>
      <c r="F19" s="8">
        <f>E19*D19/0.93</f>
        <v>3245</v>
      </c>
      <c r="G19" s="5"/>
      <c r="H19" s="7">
        <f>F19*100/F42</f>
        <v>18.714219738540542</v>
      </c>
      <c r="I19" s="7">
        <f>F19*100/F28</f>
        <v>25.094716379858621</v>
      </c>
    </row>
    <row r="20" spans="1:9">
      <c r="B20" s="1" t="s">
        <v>87</v>
      </c>
      <c r="C20" s="1" t="s">
        <v>48</v>
      </c>
      <c r="D20" s="28">
        <v>0.09</v>
      </c>
      <c r="E20" s="43">
        <v>0</v>
      </c>
      <c r="F20" s="8">
        <f>E20*D20/0.09</f>
        <v>0</v>
      </c>
      <c r="G20" s="5"/>
      <c r="H20" s="7">
        <f>F20*100/F42</f>
        <v>0</v>
      </c>
      <c r="I20" s="7">
        <f>F20*100/F28</f>
        <v>0</v>
      </c>
    </row>
    <row r="21" spans="1:9">
      <c r="B21" s="1" t="s">
        <v>58</v>
      </c>
      <c r="C21" s="1" t="s">
        <v>35</v>
      </c>
      <c r="D21" s="28">
        <v>12.5</v>
      </c>
      <c r="E21" s="14">
        <f>C7*C6</f>
        <v>592</v>
      </c>
      <c r="F21" s="8">
        <f>D21*E21</f>
        <v>7400</v>
      </c>
      <c r="G21" s="5"/>
      <c r="H21" s="7">
        <f>F21*100/F42</f>
        <v>42.676494935346689</v>
      </c>
      <c r="I21" s="7">
        <f>F21*100/F28</f>
        <v>57.226780034192231</v>
      </c>
    </row>
    <row r="22" spans="1:9">
      <c r="D22" s="4"/>
      <c r="E22" s="6"/>
      <c r="F22" s="5"/>
      <c r="G22" s="5"/>
    </row>
    <row r="23" spans="1:9">
      <c r="A23" s="1" t="s">
        <v>31</v>
      </c>
      <c r="D23" s="4"/>
      <c r="E23" s="6"/>
      <c r="F23" s="8">
        <f>SUM(F14:F21)</f>
        <v>12762.819383259912</v>
      </c>
      <c r="G23" s="5"/>
      <c r="H23" s="7">
        <f>F23*100/F42</f>
        <v>73.60437794195083</v>
      </c>
      <c r="I23" s="7">
        <f>F23*100/F28</f>
        <v>98.699332089451332</v>
      </c>
    </row>
    <row r="24" spans="1:9">
      <c r="F24" s="5"/>
      <c r="G24" s="5"/>
    </row>
    <row r="25" spans="1:9">
      <c r="A25" s="1" t="s">
        <v>21</v>
      </c>
      <c r="F25" s="5"/>
      <c r="G25" s="5"/>
    </row>
    <row r="26" spans="1:9">
      <c r="A26" s="10"/>
      <c r="B26" s="1" t="s">
        <v>22</v>
      </c>
      <c r="C26" s="1" t="s">
        <v>11</v>
      </c>
      <c r="D26" s="11">
        <v>6.5</v>
      </c>
      <c r="F26" s="5">
        <f>F23*D26/100*(C6/365)</f>
        <v>168.18948283145255</v>
      </c>
      <c r="G26" s="5"/>
      <c r="I26" s="7">
        <f>F26*100/F28</f>
        <v>1.3006679105486603</v>
      </c>
    </row>
    <row r="27" spans="1:9">
      <c r="B27" s="1" t="s">
        <v>78</v>
      </c>
      <c r="F27" s="5"/>
      <c r="G27" s="5"/>
    </row>
    <row r="28" spans="1:9">
      <c r="A28" s="1" t="s">
        <v>32</v>
      </c>
      <c r="F28" s="8">
        <f>F23+F26</f>
        <v>12931.008866091364</v>
      </c>
      <c r="G28" s="5"/>
      <c r="H28" s="7">
        <f>F28*100/F42</f>
        <v>74.574342484144751</v>
      </c>
      <c r="I28" s="30">
        <f>F28*100/F28</f>
        <v>100</v>
      </c>
    </row>
    <row r="29" spans="1:9" ht="12.75" thickBot="1">
      <c r="A29" s="1" t="s">
        <v>79</v>
      </c>
      <c r="F29" s="6">
        <f>F6</f>
        <v>50000</v>
      </c>
      <c r="G29" s="6"/>
    </row>
    <row r="30" spans="1:9" ht="12.75" thickBot="1">
      <c r="A30" s="1" t="s">
        <v>80</v>
      </c>
      <c r="F30" s="31">
        <f>F28/(F29*F8)</f>
        <v>7.3891479234807794E-2</v>
      </c>
      <c r="G30" s="40"/>
    </row>
    <row r="31" spans="1:9">
      <c r="F31" s="4"/>
      <c r="G31" s="4"/>
    </row>
    <row r="32" spans="1:9">
      <c r="A32" s="1" t="s">
        <v>84</v>
      </c>
      <c r="F32" s="4"/>
      <c r="G32" s="4"/>
    </row>
    <row r="33" spans="1:9">
      <c r="B33" s="1" t="s">
        <v>88</v>
      </c>
      <c r="F33" s="5">
        <f>G33*(C6/365)</f>
        <v>617.43257229832568</v>
      </c>
      <c r="G33" s="5">
        <f>investment!H31</f>
        <v>3045.4444444444443</v>
      </c>
      <c r="H33" s="7">
        <f>F33*100/F42</f>
        <v>3.5607916276496723</v>
      </c>
      <c r="I33" s="7"/>
    </row>
    <row r="34" spans="1:9">
      <c r="B34" s="1" t="s">
        <v>37</v>
      </c>
      <c r="G34" s="5"/>
    </row>
    <row r="35" spans="1:9">
      <c r="G35" s="5"/>
    </row>
    <row r="36" spans="1:9">
      <c r="B36" s="1" t="s">
        <v>23</v>
      </c>
      <c r="F36" s="5">
        <f>G36*(C6/365)</f>
        <v>750.21845763571787</v>
      </c>
      <c r="G36" s="5">
        <f>investment!F30*D26/100</f>
        <v>3700.4018518518515</v>
      </c>
      <c r="H36" s="7">
        <f>F36*100/F42</f>
        <v>4.3265802983370705</v>
      </c>
      <c r="I36" s="7"/>
    </row>
    <row r="37" spans="1:9">
      <c r="B37" s="1" t="s">
        <v>24</v>
      </c>
      <c r="F37" s="5">
        <f>G37*(C6/365)</f>
        <v>405.47945205479454</v>
      </c>
      <c r="G37" s="41">
        <v>2000</v>
      </c>
      <c r="H37" s="7">
        <f>F37*100/F42</f>
        <v>2.3384380786491334</v>
      </c>
    </row>
    <row r="38" spans="1:9">
      <c r="B38" s="1" t="s">
        <v>25</v>
      </c>
      <c r="F38" s="5">
        <f>G38*(C6/365)</f>
        <v>608.21917808219177</v>
      </c>
      <c r="G38" s="41">
        <v>3000</v>
      </c>
      <c r="H38" s="7">
        <f>F38*100/F42</f>
        <v>3.5076571179737006</v>
      </c>
      <c r="I38" s="9"/>
    </row>
    <row r="39" spans="1:9">
      <c r="B39" s="1" t="s">
        <v>26</v>
      </c>
      <c r="F39" s="5">
        <f>G39*(C6/365)</f>
        <v>2027.3972602739725</v>
      </c>
      <c r="G39" s="41">
        <v>10000</v>
      </c>
      <c r="H39" s="7">
        <f>F39*100/F42</f>
        <v>11.692190393245667</v>
      </c>
      <c r="I39" s="7"/>
    </row>
    <row r="40" spans="1:9">
      <c r="A40" s="1" t="s">
        <v>85</v>
      </c>
      <c r="F40" s="8">
        <f>SUM(F33:F39)</f>
        <v>4408.7469203450019</v>
      </c>
      <c r="G40" s="8">
        <f>SUM(G33:G39)</f>
        <v>21745.846296296295</v>
      </c>
      <c r="H40" s="7">
        <f>F40*100/F42</f>
        <v>25.425657515855239</v>
      </c>
      <c r="I40" s="7"/>
    </row>
    <row r="41" spans="1:9">
      <c r="G41" s="5"/>
    </row>
    <row r="42" spans="1:9">
      <c r="A42" s="1" t="s">
        <v>17</v>
      </c>
      <c r="F42" s="8">
        <f>F28+F40</f>
        <v>17339.755786436366</v>
      </c>
      <c r="G42" s="8">
        <f>F28+G40</f>
        <v>34676.855162387656</v>
      </c>
      <c r="H42" s="30">
        <f>F42*100/F42</f>
        <v>100</v>
      </c>
      <c r="I42" s="7"/>
    </row>
    <row r="43" spans="1:9" ht="12.75" thickBot="1">
      <c r="A43" s="1" t="s">
        <v>79</v>
      </c>
      <c r="F43" s="6">
        <f>F29</f>
        <v>50000</v>
      </c>
      <c r="G43" s="6">
        <f>F29</f>
        <v>50000</v>
      </c>
    </row>
    <row r="44" spans="1:9" ht="12.75" thickBot="1">
      <c r="A44" s="1" t="s">
        <v>82</v>
      </c>
      <c r="F44" s="31">
        <f>F42/(F43*F8)</f>
        <v>9.9084318779636374E-2</v>
      </c>
      <c r="G44" s="31">
        <f>G42/(G43*F8)</f>
        <v>0.1981534580707866</v>
      </c>
    </row>
    <row r="45" spans="1:9" ht="12.75" thickBot="1">
      <c r="A45" s="1" t="s">
        <v>97</v>
      </c>
      <c r="F45" s="52">
        <f>F44*F8</f>
        <v>0.34679511572872729</v>
      </c>
    </row>
    <row r="55" ht="2.1" customHeight="1"/>
    <row r="56" hidden="1"/>
  </sheetData>
  <phoneticPr fontId="1"/>
  <pageMargins left="0.75" right="0.75" top="1" bottom="1" header="0.5" footer="0.5"/>
  <pageSetup orientation="landscape" horizontalDpi="4294967292" verticalDpi="4294967292"/>
  <ignoredErrors>
    <ignoredError sqref="F23 F40:G40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H14"/>
  <sheetViews>
    <sheetView topLeftCell="B1" workbookViewId="0">
      <selection activeCell="G6" sqref="G6"/>
    </sheetView>
  </sheetViews>
  <sheetFormatPr defaultColWidth="11.42578125" defaultRowHeight="15" customHeight="1"/>
  <sheetData>
    <row r="3" spans="2:8" ht="15" customHeight="1">
      <c r="B3" t="s">
        <v>60</v>
      </c>
      <c r="C3" t="s">
        <v>61</v>
      </c>
      <c r="D3" t="s">
        <v>64</v>
      </c>
      <c r="H3" s="53" t="s">
        <v>98</v>
      </c>
    </row>
    <row r="4" spans="2:8" ht="15" customHeight="1">
      <c r="B4">
        <v>1</v>
      </c>
      <c r="C4">
        <v>22</v>
      </c>
      <c r="D4">
        <v>0.115</v>
      </c>
    </row>
    <row r="5" spans="2:8" ht="15" customHeight="1">
      <c r="B5">
        <v>1.5</v>
      </c>
      <c r="C5">
        <v>32</v>
      </c>
      <c r="D5">
        <v>0.42</v>
      </c>
    </row>
    <row r="6" spans="2:8" ht="15" customHeight="1">
      <c r="B6">
        <v>2</v>
      </c>
      <c r="C6">
        <v>42</v>
      </c>
      <c r="D6">
        <v>1.03</v>
      </c>
    </row>
    <row r="7" spans="2:8" ht="15" customHeight="1">
      <c r="B7">
        <v>2.5</v>
      </c>
      <c r="C7">
        <v>53</v>
      </c>
      <c r="D7">
        <v>2.8</v>
      </c>
    </row>
    <row r="8" spans="2:8" ht="15" customHeight="1">
      <c r="B8">
        <v>3</v>
      </c>
      <c r="C8">
        <v>62</v>
      </c>
      <c r="D8">
        <v>4.2</v>
      </c>
    </row>
    <row r="9" spans="2:8" ht="15" customHeight="1">
      <c r="B9">
        <v>3.5</v>
      </c>
      <c r="C9">
        <v>74</v>
      </c>
      <c r="D9">
        <v>5.85</v>
      </c>
    </row>
    <row r="10" spans="2:8" ht="15" customHeight="1">
      <c r="B10">
        <v>4</v>
      </c>
      <c r="C10">
        <v>89</v>
      </c>
      <c r="D10">
        <v>10.07</v>
      </c>
    </row>
    <row r="11" spans="2:8" ht="15" customHeight="1">
      <c r="B11">
        <v>4.5</v>
      </c>
      <c r="C11">
        <v>105</v>
      </c>
      <c r="D11">
        <v>14.9</v>
      </c>
    </row>
    <row r="12" spans="2:8" ht="15" customHeight="1">
      <c r="B12">
        <v>5</v>
      </c>
      <c r="C12">
        <v>121</v>
      </c>
      <c r="D12">
        <v>19.75</v>
      </c>
    </row>
    <row r="13" spans="2:8" ht="15" customHeight="1">
      <c r="B13">
        <v>5.5</v>
      </c>
      <c r="C13">
        <v>135</v>
      </c>
      <c r="D13">
        <v>23.52</v>
      </c>
    </row>
    <row r="14" spans="2:8" ht="15" customHeight="1">
      <c r="B14">
        <v>6</v>
      </c>
      <c r="C14">
        <v>151</v>
      </c>
      <c r="D14">
        <v>30.88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cture" ma:contentTypeID="0x01010200A37C87FF337C7F4C8E9C57B2B876B502" ma:contentTypeVersion="0" ma:contentTypeDescription="Upload an image or a photograph." ma:contentTypeScope="" ma:versionID="b3e4208279eb148da73abf11484567a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3de89927404324d19f63e1bc90a45d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mageWidth" minOccurs="0"/>
                <xsd:element ref="ns1:ImageHeight" minOccurs="0"/>
                <xsd:element ref="ns1:ImageCreateDate" minOccurs="0"/>
                <xsd:element ref="ns1:Description" minOccurs="0"/>
                <xsd:element ref="ns1:ThumbnailExists" minOccurs="0"/>
                <xsd:element ref="ns1:PreviewExists" minOccurs="0"/>
                <xsd:element ref="ns1:AlternateThumbnail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mageWidth" ma:index="11" nillable="true" ma:displayName="Picture Width" ma:internalName="ImageWidth" ma:readOnly="true">
      <xsd:simpleType>
        <xsd:restriction base="dms:Unknown"/>
      </xsd:simpleType>
    </xsd:element>
    <xsd:element name="ImageHeight" ma:index="12" nillable="true" ma:displayName="Picture Height" ma:internalName="ImageHeight" ma:readOnly="true">
      <xsd:simpleType>
        <xsd:restriction base="dms:Unknown"/>
      </xsd:simpleType>
    </xsd:element>
    <xsd:element name="ImageCreateDate" ma:index="13" nillable="true" ma:displayName="Date Picture Taken" ma:format="DateTime" ma:hidden="true" ma:internalName="ImageCreateDate">
      <xsd:simpleType>
        <xsd:restriction base="dms:DateTime"/>
      </xsd:simpleType>
    </xsd:element>
    <xsd:element name="Description" ma:index="14" nillable="true" ma:displayName="Description" ma:description="Used as alternative text for the picture." ma:hidden="true" ma:internalName="Description">
      <xsd:simpleType>
        <xsd:restriction base="dms:Note">
          <xsd:maxLength value="255"/>
        </xsd:restriction>
      </xsd:simpleType>
    </xsd:element>
    <xsd:element name="ThumbnailExists" ma:index="23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24" nillable="true" ma:displayName="Preview Exists" ma:default="FALSE" ma:hidden="true" ma:internalName="PreviewExists" ma:readOnly="true">
      <xsd:simpleType>
        <xsd:restriction base="dms:Boolean"/>
      </xsd:simpleType>
    </xsd:element>
    <xsd:element name="AlternateThumbnailUrl" ma:index="25" nillable="true" ma:displayName="Preview Image URL" ma:format="Image" ma:hidden="true" ma:internalName="AlternateThumbnail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8" ma:displayName="Title"/>
        <xsd:element ref="dc:subject" minOccurs="0" maxOccurs="1"/>
        <xsd:element ref="dc:description" minOccurs="0" maxOccurs="1"/>
        <xsd:element name="keywords" minOccurs="0" maxOccurs="1" type="xsd:string" ma:index="2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ternateThumbnailUrl xmlns="http://schemas.microsoft.com/sharepoint/v3">
      <Url xsi:nil="true"/>
      <Description xsi:nil="true"/>
    </AlternateThumbnailUrl>
    <ImageCreateDate xmlns="http://schemas.microsoft.com/sharepoint/v3" xsi:nil="true"/>
    <Description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EE04359-C28B-42D8-B427-48441195AC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096545-D6A5-492E-83D5-C67967A557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04FE9A-FF0C-490A-8294-4BA8A8EA75E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investment</vt:lpstr>
      <vt:lpstr>analysis</vt:lpstr>
      <vt:lpstr>values</vt:lpstr>
      <vt:lpstr>analysis!Print_Area</vt:lpstr>
    </vt:vector>
  </TitlesOfParts>
  <Company>uwap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Tank Fingerling Model </dc:title>
  <dc:creator>james held</dc:creator>
  <cp:keywords/>
  <cp:lastModifiedBy>Hauser, Emma</cp:lastModifiedBy>
  <cp:lastPrinted>2006-01-04T21:34:37Z</cp:lastPrinted>
  <dcterms:created xsi:type="dcterms:W3CDTF">2002-12-03T20:37:15Z</dcterms:created>
  <dcterms:modified xsi:type="dcterms:W3CDTF">2023-05-09T21:13:31Z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0x01010200A37C87FF337C7F4C8E9C57B2B876B502</vt:lpwstr>
  </property>
</Properties>
</file>