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uwspedu-my.sharepoint.com/personal/ehauser_uwsp_edu/Documents/NADF Info/New Website/New Additions to Add/Walleye/Walleye Economic Models/"/>
    </mc:Choice>
  </mc:AlternateContent>
  <xr:revisionPtr revIDLastSave="0" documentId="8_{F6C191DE-8A69-440E-8BBB-D12C3F9D793D}" xr6:coauthVersionLast="47" xr6:coauthVersionMax="47" xr10:uidLastSave="{00000000-0000-0000-0000-000000000000}"/>
  <bookViews>
    <workbookView xWindow="1425" yWindow="1425" windowWidth="26100" windowHeight="15630" activeTab="1" xr2:uid="{00000000-000D-0000-FFFF-FFFF00000000}"/>
  </bookViews>
  <sheets>
    <sheet name="investment" sheetId="3" r:id="rId1"/>
    <sheet name="analysis" sheetId="1" r:id="rId2"/>
    <sheet name="values" sheetId="2" r:id="rId3"/>
  </sheets>
  <definedNames>
    <definedName name="_xlnm.Print_Area" localSheetId="1">analysis!$A$1:$I$51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6" i="1" l="1"/>
  <c r="F6" i="1"/>
  <c r="F5" i="1" s="1"/>
  <c r="C8" i="1"/>
  <c r="E12" i="3"/>
  <c r="E25" i="3" s="1"/>
  <c r="F25" i="3" s="1"/>
  <c r="H25" i="3" s="1"/>
  <c r="F12" i="3"/>
  <c r="H12" i="3"/>
  <c r="F12" i="1"/>
  <c r="E24" i="1" s="1"/>
  <c r="F24" i="1" s="1"/>
  <c r="F10" i="1"/>
  <c r="C6" i="1"/>
  <c r="C11" i="1" s="1"/>
  <c r="F27" i="1"/>
  <c r="F36" i="1"/>
  <c r="F50" i="1"/>
  <c r="F20" i="1"/>
  <c r="F21" i="1"/>
  <c r="F22" i="1"/>
  <c r="F25" i="1"/>
  <c r="G50" i="1"/>
  <c r="F8" i="3"/>
  <c r="H8" i="3" s="1"/>
  <c r="F10" i="3"/>
  <c r="H10" i="3"/>
  <c r="F11" i="3"/>
  <c r="H11" i="3"/>
  <c r="F13" i="3"/>
  <c r="H13" i="3" s="1"/>
  <c r="F14" i="3"/>
  <c r="H14" i="3" s="1"/>
  <c r="F18" i="3"/>
  <c r="F33" i="3" s="1"/>
  <c r="H18" i="3"/>
  <c r="F19" i="3"/>
  <c r="H19" i="3"/>
  <c r="F20" i="3"/>
  <c r="H20" i="3" s="1"/>
  <c r="F21" i="3"/>
  <c r="H21" i="3" s="1"/>
  <c r="F22" i="3"/>
  <c r="H22" i="3"/>
  <c r="F23" i="3"/>
  <c r="H23" i="3"/>
  <c r="F24" i="3"/>
  <c r="H24" i="3" s="1"/>
  <c r="F26" i="3"/>
  <c r="H26" i="3"/>
  <c r="F27" i="3"/>
  <c r="H27" i="3"/>
  <c r="F28" i="3"/>
  <c r="H28" i="3"/>
  <c r="F29" i="3"/>
  <c r="H29" i="3" s="1"/>
  <c r="F30" i="3"/>
  <c r="H30" i="3" s="1"/>
  <c r="F31" i="3"/>
  <c r="H31" i="3"/>
  <c r="F32" i="3"/>
  <c r="H32" i="3"/>
  <c r="E28" i="1" l="1"/>
  <c r="F28" i="1" s="1"/>
  <c r="F44" i="1"/>
  <c r="F15" i="1"/>
  <c r="H33" i="3"/>
  <c r="F4" i="1"/>
  <c r="C3" i="1"/>
  <c r="F46" i="1"/>
  <c r="F45" i="1"/>
  <c r="F14" i="1"/>
  <c r="E6" i="3" l="1"/>
  <c r="F6" i="3" s="1"/>
  <c r="H6" i="3" s="1"/>
  <c r="E7" i="3"/>
  <c r="F7" i="3" s="1"/>
  <c r="H7" i="3" s="1"/>
  <c r="E9" i="3"/>
  <c r="F9" i="3" s="1"/>
  <c r="H9" i="3" s="1"/>
  <c r="E5" i="3"/>
  <c r="F5" i="3" s="1"/>
  <c r="E19" i="1"/>
  <c r="F19" i="1" s="1"/>
  <c r="H5" i="3" l="1"/>
  <c r="H15" i="3" s="1"/>
  <c r="H35" i="3" s="1"/>
  <c r="G40" i="1" s="1"/>
  <c r="F15" i="3"/>
  <c r="F34" i="3" s="1"/>
  <c r="G43" i="1" s="1"/>
  <c r="F43" i="1" s="1"/>
  <c r="F30" i="1"/>
  <c r="F33" i="1" l="1"/>
  <c r="F40" i="1"/>
  <c r="G47" i="1"/>
  <c r="F47" i="1" l="1"/>
  <c r="F35" i="1"/>
  <c r="G49" i="1" l="1"/>
  <c r="G51" i="1" s="1"/>
  <c r="I22" i="1"/>
  <c r="I25" i="1"/>
  <c r="F49" i="1"/>
  <c r="F37" i="1"/>
  <c r="I27" i="1"/>
  <c r="I35" i="1"/>
  <c r="I26" i="1"/>
  <c r="I20" i="1"/>
  <c r="I24" i="1"/>
  <c r="I21" i="1"/>
  <c r="I28" i="1"/>
  <c r="I19" i="1"/>
  <c r="I30" i="1"/>
  <c r="I33" i="1"/>
  <c r="H27" i="1" l="1"/>
  <c r="F51" i="1"/>
  <c r="F52" i="1" s="1"/>
  <c r="H21" i="1"/>
  <c r="H49" i="1"/>
  <c r="H25" i="1"/>
  <c r="H26" i="1"/>
  <c r="H20" i="1"/>
  <c r="H24" i="1"/>
  <c r="H22" i="1"/>
  <c r="H45" i="1"/>
  <c r="H46" i="1"/>
  <c r="H44" i="1"/>
  <c r="H28" i="1"/>
  <c r="H19" i="1"/>
  <c r="H30" i="1"/>
  <c r="H43" i="1"/>
  <c r="H40" i="1"/>
  <c r="H35" i="1"/>
  <c r="H47" i="1"/>
</calcChain>
</file>

<file path=xl/sharedStrings.xml><?xml version="1.0" encoding="utf-8"?>
<sst xmlns="http://schemas.openxmlformats.org/spreadsheetml/2006/main" count="148" uniqueCount="120">
  <si>
    <t>boots/waders</t>
  </si>
  <si>
    <t>building</t>
  </si>
  <si>
    <t>water system</t>
  </si>
  <si>
    <t>electric service</t>
  </si>
  <si>
    <t>seine</t>
  </si>
  <si>
    <t>totes</t>
  </si>
  <si>
    <t>buckets</t>
  </si>
  <si>
    <t>No.</t>
  </si>
  <si>
    <t>(annual)</t>
  </si>
  <si>
    <t>Total depreciation</t>
  </si>
  <si>
    <t xml:space="preserve">feed </t>
  </si>
  <si>
    <t>%</t>
  </si>
  <si>
    <t>Category</t>
  </si>
  <si>
    <t>Item</t>
  </si>
  <si>
    <t>Unit</t>
  </si>
  <si>
    <t>Unit cost</t>
  </si>
  <si>
    <t>No. of units</t>
  </si>
  <si>
    <t>Total cost</t>
  </si>
  <si>
    <t>Useful life</t>
  </si>
  <si>
    <t>Depreciation</t>
  </si>
  <si>
    <t>Total investment</t>
  </si>
  <si>
    <t>Miscellaneous</t>
  </si>
  <si>
    <t xml:space="preserve">interest on operating capital </t>
  </si>
  <si>
    <t>interest on investment</t>
  </si>
  <si>
    <t>r.e.taxes</t>
  </si>
  <si>
    <t>insurance</t>
  </si>
  <si>
    <t>repairs</t>
  </si>
  <si>
    <t>Subtotal</t>
  </si>
  <si>
    <t>(years)</t>
  </si>
  <si>
    <t>Facilities</t>
  </si>
  <si>
    <t>Equipment</t>
  </si>
  <si>
    <t>Total production costs</t>
  </si>
  <si>
    <t>Total operating cost</t>
  </si>
  <si>
    <t>each</t>
  </si>
  <si>
    <t>lb</t>
  </si>
  <si>
    <t>gal</t>
  </si>
  <si>
    <t>hr</t>
  </si>
  <si>
    <t>land cost</t>
  </si>
  <si>
    <t>(investment/useful life)</t>
  </si>
  <si>
    <t xml:space="preserve">well </t>
  </si>
  <si>
    <t>aeration system</t>
  </si>
  <si>
    <t>well pump</t>
  </si>
  <si>
    <t>blower</t>
  </si>
  <si>
    <t>water pump</t>
  </si>
  <si>
    <t>tools</t>
  </si>
  <si>
    <t>acre</t>
  </si>
  <si>
    <t>pond</t>
  </si>
  <si>
    <t>asst</t>
  </si>
  <si>
    <t>% of total</t>
  </si>
  <si>
    <t>cost</t>
  </si>
  <si>
    <t>% of operating</t>
  </si>
  <si>
    <t>mower</t>
  </si>
  <si>
    <t>fuel (mower, ATV)</t>
  </si>
  <si>
    <t>kwh</t>
  </si>
  <si>
    <t>pond construction</t>
  </si>
  <si>
    <t>pond plumbing</t>
  </si>
  <si>
    <t>balance</t>
  </si>
  <si>
    <t>levee improvements</t>
  </si>
  <si>
    <t>ATV</t>
  </si>
  <si>
    <t>boat</t>
  </si>
  <si>
    <t>d.o. meter</t>
  </si>
  <si>
    <t>feeder</t>
  </si>
  <si>
    <t>nets</t>
  </si>
  <si>
    <t>Number of untrained fingerlings</t>
  </si>
  <si>
    <t>Inputs/Variables</t>
  </si>
  <si>
    <t>Number of eggs</t>
  </si>
  <si>
    <t>Number of fry</t>
  </si>
  <si>
    <t>Number of trained fingerlings</t>
  </si>
  <si>
    <t>salt</t>
  </si>
  <si>
    <t>fertilizer</t>
  </si>
  <si>
    <t>Breakeven cost for feed trained walleye fingerlings (pond-tank)</t>
  </si>
  <si>
    <t>labor (unskilled, $7.50 + 25%)</t>
  </si>
  <si>
    <t>labor (semi-skilled, $10.00 + 25%)</t>
  </si>
  <si>
    <t>choose 2, 2.5, 3, 3.5, 4 in</t>
  </si>
  <si>
    <t>Pond area (acre)</t>
  </si>
  <si>
    <t>Pond stocking rate (fing/acre)</t>
  </si>
  <si>
    <t>Pond culture period (day)</t>
  </si>
  <si>
    <t>Pond return (%)</t>
  </si>
  <si>
    <t>$/acre</t>
  </si>
  <si>
    <t>fing size</t>
  </si>
  <si>
    <t>days</t>
  </si>
  <si>
    <t>Length of trained fingerlings</t>
  </si>
  <si>
    <t>Weight of trained fingerlings</t>
  </si>
  <si>
    <t>wgt</t>
  </si>
  <si>
    <t>(flow-through tanks)</t>
  </si>
  <si>
    <t>Training tank volume (gal)</t>
  </si>
  <si>
    <t>Training tank stocking rate (fing/gal)</t>
  </si>
  <si>
    <t>Training success (%)</t>
  </si>
  <si>
    <t>Training period (days)</t>
  </si>
  <si>
    <t>Hatch success (%)</t>
  </si>
  <si>
    <t>Fingerling length at harvest (in)</t>
  </si>
  <si>
    <t>choose 1, 1.5, 2, 2.5, 3 in</t>
  </si>
  <si>
    <t>Training feed conversion</t>
  </si>
  <si>
    <t>Fingerling weight at harvest</t>
  </si>
  <si>
    <t>Well water temperature (°F)</t>
  </si>
  <si>
    <t>Culture water temperature (°F)</t>
  </si>
  <si>
    <t>therm</t>
  </si>
  <si>
    <t>Units of hot water (gas)</t>
  </si>
  <si>
    <t>Units of hot water (electric)</t>
  </si>
  <si>
    <t>Water changes/hr</t>
  </si>
  <si>
    <t>electricity (well pump, aeration)</t>
  </si>
  <si>
    <t>for pond-tank culture period</t>
  </si>
  <si>
    <t>Production (fingerlings)</t>
  </si>
  <si>
    <t>Breakeven operating cost per inch</t>
  </si>
  <si>
    <t>tanks (60 gal)</t>
  </si>
  <si>
    <t>Breakeven total cost per in.</t>
  </si>
  <si>
    <t>Annualized cost</t>
  </si>
  <si>
    <t>Ownership costs</t>
  </si>
  <si>
    <t>Total ownership cost</t>
  </si>
  <si>
    <t>hot water (gas) from F14</t>
  </si>
  <si>
    <t>hot water (electric) from F15</t>
  </si>
  <si>
    <t>total depreciation</t>
  </si>
  <si>
    <t>pondfing</t>
  </si>
  <si>
    <t>Cycle cost</t>
  </si>
  <si>
    <t>Pond phase  costs</t>
  </si>
  <si>
    <t>Feed training  phase costs</t>
  </si>
  <si>
    <t>Breakeven total cost per fingerling</t>
  </si>
  <si>
    <t>Training labor per day</t>
  </si>
  <si>
    <t>choose F14 or F15</t>
  </si>
  <si>
    <t>to fill E26 or E27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</si>
</sst>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;[Red]\-&quot;$&quot;#,##0"/>
    <numFmt numFmtId="165" formatCode="&quot;$&quot;#,##0.00;[Red]\-&quot;$&quot;#,##0.00"/>
    <numFmt numFmtId="166" formatCode="0.0"/>
    <numFmt numFmtId="167" formatCode="&quot;$&quot;#,##0.00"/>
    <numFmt numFmtId="168" formatCode="&quot;$&quot;#,##0"/>
    <numFmt numFmtId="169" formatCode="#,##0.00_ ;[Red]\-#,##0.00\ "/>
    <numFmt numFmtId="170" formatCode="&quot;$&quot;#,##0.0000"/>
  </numFmts>
  <fonts count="6">
    <font>
      <sz val="9"/>
      <name val="Geneva"/>
    </font>
    <font>
      <sz val="8"/>
      <name val="Geneva"/>
    </font>
    <font>
      <sz val="9"/>
      <name val="Calibri"/>
      <scheme val="minor"/>
    </font>
    <font>
      <u/>
      <sz val="9"/>
      <color theme="10"/>
      <name val="Geneva"/>
    </font>
    <font>
      <u/>
      <sz val="9"/>
      <color theme="11"/>
      <name val="Geneva"/>
    </font>
    <font>
      <sz val="16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7" fontId="2" fillId="0" borderId="0" xfId="0" applyNumberFormat="1" applyFont="1"/>
    <xf numFmtId="168" fontId="2" fillId="0" borderId="0" xfId="0" applyNumberFormat="1" applyFont="1"/>
    <xf numFmtId="3" fontId="2" fillId="0" borderId="0" xfId="0" applyNumberFormat="1" applyFont="1"/>
    <xf numFmtId="166" fontId="2" fillId="0" borderId="0" xfId="0" applyNumberFormat="1" applyFont="1"/>
    <xf numFmtId="168" fontId="2" fillId="0" borderId="2" xfId="0" applyNumberFormat="1" applyFont="1" applyBorder="1"/>
    <xf numFmtId="2" fontId="2" fillId="0" borderId="0" xfId="0" applyNumberFormat="1" applyFont="1"/>
    <xf numFmtId="10" fontId="2" fillId="0" borderId="0" xfId="0" applyNumberFormat="1" applyFont="1"/>
    <xf numFmtId="0" fontId="2" fillId="0" borderId="0" xfId="0" quotePrefix="1" applyFont="1"/>
    <xf numFmtId="0" fontId="5" fillId="0" borderId="0" xfId="0" applyFont="1"/>
    <xf numFmtId="0" fontId="2" fillId="2" borderId="2" xfId="0" applyFont="1" applyFill="1" applyBorder="1"/>
    <xf numFmtId="3" fontId="2" fillId="2" borderId="2" xfId="0" applyNumberFormat="1" applyFont="1" applyFill="1" applyBorder="1"/>
    <xf numFmtId="3" fontId="2" fillId="0" borderId="2" xfId="0" applyNumberFormat="1" applyFont="1" applyBorder="1"/>
    <xf numFmtId="0" fontId="2" fillId="0" borderId="4" xfId="0" applyFont="1" applyBorder="1"/>
    <xf numFmtId="0" fontId="2" fillId="0" borderId="6" xfId="0" applyFont="1" applyBorder="1"/>
    <xf numFmtId="3" fontId="2" fillId="2" borderId="7" xfId="0" applyNumberFormat="1" applyFont="1" applyFill="1" applyBorder="1"/>
    <xf numFmtId="0" fontId="2" fillId="2" borderId="7" xfId="0" applyFont="1" applyFill="1" applyBorder="1"/>
    <xf numFmtId="0" fontId="2" fillId="0" borderId="8" xfId="0" applyFont="1" applyBorder="1"/>
    <xf numFmtId="0" fontId="2" fillId="2" borderId="5" xfId="0" applyFont="1" applyFill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2" fontId="2" fillId="0" borderId="5" xfId="0" applyNumberFormat="1" applyFont="1" applyBorder="1"/>
    <xf numFmtId="3" fontId="2" fillId="0" borderId="7" xfId="0" applyNumberFormat="1" applyFont="1" applyBorder="1"/>
    <xf numFmtId="3" fontId="2" fillId="2" borderId="9" xfId="0" applyNumberFormat="1" applyFont="1" applyFill="1" applyBorder="1"/>
    <xf numFmtId="1" fontId="2" fillId="0" borderId="5" xfId="0" applyNumberFormat="1" applyFont="1" applyBorder="1"/>
    <xf numFmtId="0" fontId="2" fillId="0" borderId="0" xfId="0" applyFont="1" applyAlignment="1">
      <alignment horizontal="right"/>
    </xf>
    <xf numFmtId="0" fontId="2" fillId="2" borderId="9" xfId="0" applyFont="1" applyFill="1" applyBorder="1" applyAlignment="1">
      <alignment horizontal="right"/>
    </xf>
    <xf numFmtId="169" fontId="2" fillId="0" borderId="0" xfId="0" applyNumberFormat="1" applyFont="1"/>
    <xf numFmtId="4" fontId="2" fillId="0" borderId="0" xfId="0" applyNumberFormat="1" applyFont="1"/>
    <xf numFmtId="167" fontId="2" fillId="2" borderId="2" xfId="0" applyNumberFormat="1" applyFont="1" applyFill="1" applyBorder="1"/>
    <xf numFmtId="165" fontId="2" fillId="2" borderId="2" xfId="0" applyNumberFormat="1" applyFont="1" applyFill="1" applyBorder="1"/>
    <xf numFmtId="166" fontId="2" fillId="0" borderId="2" xfId="0" applyNumberFormat="1" applyFont="1" applyBorder="1"/>
    <xf numFmtId="164" fontId="2" fillId="0" borderId="2" xfId="0" applyNumberFormat="1" applyFont="1" applyBorder="1"/>
    <xf numFmtId="170" fontId="2" fillId="3" borderId="3" xfId="0" applyNumberFormat="1" applyFont="1" applyFill="1" applyBorder="1"/>
    <xf numFmtId="0" fontId="2" fillId="0" borderId="0" xfId="0" applyFont="1" applyAlignment="1">
      <alignment horizontal="left"/>
    </xf>
    <xf numFmtId="168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8" fontId="2" fillId="0" borderId="2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168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164" fontId="2" fillId="0" borderId="0" xfId="0" applyNumberFormat="1" applyFont="1"/>
    <xf numFmtId="170" fontId="2" fillId="0" borderId="0" xfId="0" applyNumberFormat="1" applyFont="1"/>
    <xf numFmtId="168" fontId="2" fillId="2" borderId="0" xfId="0" applyNumberFormat="1" applyFont="1" applyFill="1"/>
    <xf numFmtId="0" fontId="2" fillId="2" borderId="0" xfId="0" applyFont="1" applyFill="1" applyAlignment="1">
      <alignment horizontal="center"/>
    </xf>
    <xf numFmtId="3" fontId="2" fillId="4" borderId="2" xfId="0" applyNumberFormat="1" applyFont="1" applyFill="1" applyBorder="1"/>
    <xf numFmtId="0" fontId="0" fillId="5" borderId="0" xfId="0" applyFill="1"/>
    <xf numFmtId="4" fontId="2" fillId="4" borderId="9" xfId="0" applyNumberFormat="1" applyFont="1" applyFill="1" applyBorder="1"/>
    <xf numFmtId="0" fontId="2" fillId="0" borderId="12" xfId="0" applyFont="1" applyBorder="1"/>
    <xf numFmtId="0" fontId="2" fillId="2" borderId="13" xfId="0" applyFont="1" applyFill="1" applyBorder="1"/>
    <xf numFmtId="167" fontId="2" fillId="3" borderId="3" xfId="0" applyNumberFormat="1" applyFont="1" applyFill="1" applyBorder="1"/>
    <xf numFmtId="169" fontId="2" fillId="4" borderId="5" xfId="0" applyNumberFormat="1" applyFont="1" applyFill="1" applyBorder="1" applyAlignment="1">
      <alignment horizontal="right"/>
    </xf>
  </cellXfs>
  <cellStyles count="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36"/>
  <sheetViews>
    <sheetView topLeftCell="A5" zoomScale="125" zoomScaleNormal="125" zoomScalePageLayoutView="125" workbookViewId="0">
      <selection activeCell="K14" sqref="K14"/>
    </sheetView>
  </sheetViews>
  <sheetFormatPr defaultColWidth="10.85546875" defaultRowHeight="12"/>
  <cols>
    <col min="1" max="1" width="12.85546875" style="2" bestFit="1" customWidth="1"/>
    <col min="2" max="2" width="14" style="2" bestFit="1" customWidth="1"/>
    <col min="3" max="3" width="6.85546875" style="2" bestFit="1" customWidth="1"/>
    <col min="4" max="4" width="8.42578125" style="2" bestFit="1" customWidth="1"/>
    <col min="5" max="5" width="6.7109375" style="2" bestFit="1" customWidth="1"/>
    <col min="6" max="6" width="9.28515625" style="2" bestFit="1" customWidth="1"/>
    <col min="7" max="7" width="7.85546875" style="2" bestFit="1" customWidth="1"/>
    <col min="8" max="8" width="9.28515625" style="2" bestFit="1" customWidth="1"/>
    <col min="9" max="16384" width="10.85546875" style="2"/>
  </cols>
  <sheetData>
    <row r="3" spans="1:8">
      <c r="A3" s="3" t="s">
        <v>12</v>
      </c>
      <c r="B3" s="3" t="s">
        <v>13</v>
      </c>
      <c r="C3" s="3" t="s">
        <v>14</v>
      </c>
      <c r="D3" s="3" t="s">
        <v>15</v>
      </c>
      <c r="E3" s="3" t="s">
        <v>7</v>
      </c>
      <c r="F3" s="3" t="s">
        <v>17</v>
      </c>
      <c r="G3" s="3" t="s">
        <v>18</v>
      </c>
      <c r="H3" s="3" t="s">
        <v>19</v>
      </c>
    </row>
    <row r="4" spans="1:8">
      <c r="A4" s="39" t="s">
        <v>29</v>
      </c>
      <c r="B4" s="39"/>
      <c r="C4" s="39"/>
      <c r="G4" s="2" t="s">
        <v>28</v>
      </c>
      <c r="H4" s="2" t="s">
        <v>8</v>
      </c>
    </row>
    <row r="5" spans="1:8">
      <c r="A5" s="39"/>
      <c r="B5" s="39" t="s">
        <v>37</v>
      </c>
      <c r="C5" s="39" t="s">
        <v>45</v>
      </c>
      <c r="D5" s="46">
        <v>3500</v>
      </c>
      <c r="E5" s="44">
        <f>(analysis!C3*1.5)+1</f>
        <v>5.2857142857142856</v>
      </c>
      <c r="F5" s="40">
        <f t="shared" ref="F5:F14" si="0">D5*E5</f>
        <v>18500</v>
      </c>
      <c r="H5" s="41">
        <f>F5*-0.05</f>
        <v>-925</v>
      </c>
    </row>
    <row r="6" spans="1:8">
      <c r="A6" s="39"/>
      <c r="B6" s="39" t="s">
        <v>54</v>
      </c>
      <c r="C6" s="39" t="s">
        <v>45</v>
      </c>
      <c r="D6" s="46">
        <v>4000</v>
      </c>
      <c r="E6" s="44">
        <f>analysis!C3</f>
        <v>2.8571428571428572</v>
      </c>
      <c r="F6" s="40">
        <f t="shared" si="0"/>
        <v>11428.571428571429</v>
      </c>
      <c r="G6" s="51">
        <v>50</v>
      </c>
      <c r="H6" s="41">
        <f t="shared" ref="H6:H14" si="1">F6/G6</f>
        <v>228.57142857142858</v>
      </c>
    </row>
    <row r="7" spans="1:8">
      <c r="A7" s="39"/>
      <c r="B7" s="39" t="s">
        <v>55</v>
      </c>
      <c r="C7" s="39" t="s">
        <v>46</v>
      </c>
      <c r="D7" s="46">
        <v>350</v>
      </c>
      <c r="E7" s="44">
        <f>analysis!C3</f>
        <v>2.8571428571428572</v>
      </c>
      <c r="F7" s="40">
        <f t="shared" si="0"/>
        <v>1000</v>
      </c>
      <c r="G7" s="51">
        <v>25</v>
      </c>
      <c r="H7" s="41">
        <f t="shared" si="1"/>
        <v>40</v>
      </c>
    </row>
    <row r="8" spans="1:8">
      <c r="A8" s="39"/>
      <c r="B8" s="39" t="s">
        <v>39</v>
      </c>
      <c r="C8" s="39"/>
      <c r="D8" s="46">
        <v>70000</v>
      </c>
      <c r="E8" s="30">
        <v>1</v>
      </c>
      <c r="F8" s="40">
        <f t="shared" si="0"/>
        <v>70000</v>
      </c>
      <c r="G8" s="51">
        <v>50</v>
      </c>
      <c r="H8" s="41">
        <f t="shared" si="1"/>
        <v>1400</v>
      </c>
    </row>
    <row r="9" spans="1:8">
      <c r="A9" s="39"/>
      <c r="B9" s="39" t="s">
        <v>40</v>
      </c>
      <c r="C9" s="39" t="s">
        <v>33</v>
      </c>
      <c r="D9" s="46">
        <v>150</v>
      </c>
      <c r="E9" s="44">
        <f>analysis!C3</f>
        <v>2.8571428571428572</v>
      </c>
      <c r="F9" s="40">
        <f t="shared" si="0"/>
        <v>428.57142857142856</v>
      </c>
      <c r="G9" s="51">
        <v>25</v>
      </c>
      <c r="H9" s="41">
        <f t="shared" si="1"/>
        <v>17.142857142857142</v>
      </c>
    </row>
    <row r="10" spans="1:8">
      <c r="A10" s="39"/>
      <c r="B10" s="39" t="s">
        <v>57</v>
      </c>
      <c r="C10" s="39"/>
      <c r="D10" s="46">
        <v>3000</v>
      </c>
      <c r="E10" s="30">
        <v>1</v>
      </c>
      <c r="F10" s="40">
        <f t="shared" si="0"/>
        <v>3000</v>
      </c>
      <c r="G10" s="51">
        <v>50</v>
      </c>
      <c r="H10" s="41">
        <f t="shared" si="1"/>
        <v>60</v>
      </c>
    </row>
    <row r="11" spans="1:8">
      <c r="A11" s="39"/>
      <c r="B11" s="39" t="s">
        <v>1</v>
      </c>
      <c r="C11" s="39"/>
      <c r="D11" s="46">
        <v>20000</v>
      </c>
      <c r="E11" s="30">
        <v>1</v>
      </c>
      <c r="F11" s="40">
        <f t="shared" si="0"/>
        <v>20000</v>
      </c>
      <c r="G11" s="51">
        <v>50</v>
      </c>
      <c r="H11" s="41">
        <f t="shared" si="1"/>
        <v>400</v>
      </c>
    </row>
    <row r="12" spans="1:8">
      <c r="A12" s="39"/>
      <c r="B12" s="39" t="s">
        <v>104</v>
      </c>
      <c r="C12" s="39" t="s">
        <v>33</v>
      </c>
      <c r="D12" s="46">
        <v>146</v>
      </c>
      <c r="E12" s="45">
        <f>analysis!C8/60</f>
        <v>55.555555555555557</v>
      </c>
      <c r="F12" s="40">
        <f t="shared" si="0"/>
        <v>8111.1111111111113</v>
      </c>
      <c r="G12" s="51">
        <v>25</v>
      </c>
      <c r="H12" s="41">
        <f t="shared" si="1"/>
        <v>324.44444444444446</v>
      </c>
    </row>
    <row r="13" spans="1:8">
      <c r="A13" s="39"/>
      <c r="B13" s="39" t="s">
        <v>2</v>
      </c>
      <c r="D13" s="46">
        <v>1500</v>
      </c>
      <c r="E13" s="30">
        <v>1</v>
      </c>
      <c r="F13" s="40">
        <f t="shared" si="0"/>
        <v>1500</v>
      </c>
      <c r="G13" s="51">
        <v>25</v>
      </c>
      <c r="H13" s="41">
        <f t="shared" si="1"/>
        <v>60</v>
      </c>
    </row>
    <row r="14" spans="1:8">
      <c r="A14" s="39"/>
      <c r="B14" s="39" t="s">
        <v>3</v>
      </c>
      <c r="C14" s="39"/>
      <c r="D14" s="46">
        <v>8000</v>
      </c>
      <c r="E14" s="30">
        <v>1</v>
      </c>
      <c r="F14" s="40">
        <f t="shared" si="0"/>
        <v>8000</v>
      </c>
      <c r="G14" s="51">
        <v>25</v>
      </c>
      <c r="H14" s="41">
        <f t="shared" si="1"/>
        <v>320</v>
      </c>
    </row>
    <row r="15" spans="1:8">
      <c r="A15" s="39"/>
      <c r="B15" s="39" t="s">
        <v>27</v>
      </c>
      <c r="C15" s="39"/>
      <c r="D15" s="40"/>
      <c r="E15" s="30"/>
      <c r="F15" s="40">
        <f>SUM(F5:F14)</f>
        <v>141968.25396825396</v>
      </c>
      <c r="H15" s="41">
        <f>SUM(H5:H14)</f>
        <v>1925.1587301587301</v>
      </c>
    </row>
    <row r="16" spans="1:8">
      <c r="A16" s="39"/>
      <c r="B16" s="39"/>
      <c r="C16" s="39"/>
      <c r="D16" s="40"/>
      <c r="E16" s="30"/>
      <c r="F16" s="40"/>
      <c r="H16" s="41"/>
    </row>
    <row r="17" spans="1:8">
      <c r="A17" s="39" t="s">
        <v>30</v>
      </c>
      <c r="B17" s="39"/>
      <c r="C17" s="39"/>
      <c r="D17" s="40"/>
      <c r="E17" s="30"/>
      <c r="F17" s="40"/>
      <c r="H17" s="41"/>
    </row>
    <row r="18" spans="1:8">
      <c r="A18" s="39"/>
      <c r="B18" s="39" t="s">
        <v>58</v>
      </c>
      <c r="C18" s="39" t="s">
        <v>33</v>
      </c>
      <c r="D18" s="46">
        <v>6000</v>
      </c>
      <c r="E18" s="47">
        <v>1</v>
      </c>
      <c r="F18" s="40">
        <f t="shared" ref="F18:F32" si="2">D18*E18</f>
        <v>6000</v>
      </c>
      <c r="G18" s="51">
        <v>10</v>
      </c>
      <c r="H18" s="41">
        <f t="shared" ref="H18:H32" si="3">F18/G18</f>
        <v>600</v>
      </c>
    </row>
    <row r="19" spans="1:8">
      <c r="A19" s="39"/>
      <c r="B19" s="39" t="s">
        <v>59</v>
      </c>
      <c r="C19" s="39" t="s">
        <v>33</v>
      </c>
      <c r="D19" s="46">
        <v>800</v>
      </c>
      <c r="E19" s="47">
        <v>1</v>
      </c>
      <c r="F19" s="40">
        <f t="shared" si="2"/>
        <v>800</v>
      </c>
      <c r="G19" s="51">
        <v>20</v>
      </c>
      <c r="H19" s="41">
        <f t="shared" si="3"/>
        <v>40</v>
      </c>
    </row>
    <row r="20" spans="1:8">
      <c r="A20" s="39"/>
      <c r="B20" s="39" t="s">
        <v>51</v>
      </c>
      <c r="C20" s="39" t="s">
        <v>33</v>
      </c>
      <c r="D20" s="46">
        <v>1000</v>
      </c>
      <c r="E20" s="47">
        <v>1</v>
      </c>
      <c r="F20" s="40">
        <f t="shared" si="2"/>
        <v>1000</v>
      </c>
      <c r="G20" s="51">
        <v>5</v>
      </c>
      <c r="H20" s="41">
        <f t="shared" si="3"/>
        <v>200</v>
      </c>
    </row>
    <row r="21" spans="1:8">
      <c r="A21" s="39"/>
      <c r="B21" s="39" t="s">
        <v>41</v>
      </c>
      <c r="C21" s="39" t="s">
        <v>33</v>
      </c>
      <c r="D21" s="46">
        <v>30000</v>
      </c>
      <c r="E21" s="47">
        <v>1</v>
      </c>
      <c r="F21" s="40">
        <f t="shared" si="2"/>
        <v>30000</v>
      </c>
      <c r="G21" s="51">
        <v>10</v>
      </c>
      <c r="H21" s="41">
        <f t="shared" si="3"/>
        <v>3000</v>
      </c>
    </row>
    <row r="22" spans="1:8">
      <c r="A22" s="39"/>
      <c r="B22" s="39" t="s">
        <v>42</v>
      </c>
      <c r="C22" s="39" t="s">
        <v>33</v>
      </c>
      <c r="D22" s="46">
        <v>500</v>
      </c>
      <c r="E22" s="47">
        <v>2</v>
      </c>
      <c r="F22" s="40">
        <f t="shared" si="2"/>
        <v>1000</v>
      </c>
      <c r="G22" s="51">
        <v>5</v>
      </c>
      <c r="H22" s="41">
        <f t="shared" si="3"/>
        <v>200</v>
      </c>
    </row>
    <row r="23" spans="1:8">
      <c r="A23" s="39"/>
      <c r="B23" s="39" t="s">
        <v>43</v>
      </c>
      <c r="C23" s="39" t="s">
        <v>33</v>
      </c>
      <c r="D23" s="46">
        <v>200</v>
      </c>
      <c r="E23" s="47">
        <v>2</v>
      </c>
      <c r="F23" s="40">
        <f t="shared" si="2"/>
        <v>400</v>
      </c>
      <c r="G23" s="51">
        <v>5</v>
      </c>
      <c r="H23" s="41">
        <f t="shared" si="3"/>
        <v>80</v>
      </c>
    </row>
    <row r="24" spans="1:8">
      <c r="A24" s="39"/>
      <c r="B24" s="39" t="s">
        <v>60</v>
      </c>
      <c r="C24" s="39" t="s">
        <v>33</v>
      </c>
      <c r="D24" s="46">
        <v>500</v>
      </c>
      <c r="E24" s="47">
        <v>1</v>
      </c>
      <c r="F24" s="40">
        <f t="shared" si="2"/>
        <v>500</v>
      </c>
      <c r="G24" s="51">
        <v>5</v>
      </c>
      <c r="H24" s="41">
        <f t="shared" si="3"/>
        <v>100</v>
      </c>
    </row>
    <row r="25" spans="1:8">
      <c r="A25" s="39"/>
      <c r="B25" s="39" t="s">
        <v>61</v>
      </c>
      <c r="C25" s="39" t="s">
        <v>33</v>
      </c>
      <c r="D25" s="46">
        <v>200</v>
      </c>
      <c r="E25" s="45">
        <f>E12</f>
        <v>55.555555555555557</v>
      </c>
      <c r="F25" s="40">
        <f t="shared" si="2"/>
        <v>11111.111111111111</v>
      </c>
      <c r="G25" s="51">
        <v>5</v>
      </c>
      <c r="H25" s="41">
        <f t="shared" si="3"/>
        <v>2222.2222222222222</v>
      </c>
    </row>
    <row r="26" spans="1:8">
      <c r="A26" s="39"/>
      <c r="B26" s="39" t="s">
        <v>56</v>
      </c>
      <c r="C26" s="39" t="s">
        <v>33</v>
      </c>
      <c r="D26" s="46">
        <v>200</v>
      </c>
      <c r="E26" s="47">
        <v>1</v>
      </c>
      <c r="F26" s="40">
        <f t="shared" si="2"/>
        <v>200</v>
      </c>
      <c r="G26" s="51">
        <v>5</v>
      </c>
      <c r="H26" s="41">
        <f t="shared" si="3"/>
        <v>40</v>
      </c>
    </row>
    <row r="27" spans="1:8">
      <c r="A27" s="39"/>
      <c r="B27" s="39" t="s">
        <v>62</v>
      </c>
      <c r="C27" s="39" t="s">
        <v>33</v>
      </c>
      <c r="D27" s="46">
        <v>25</v>
      </c>
      <c r="E27" s="47">
        <v>6</v>
      </c>
      <c r="F27" s="40">
        <f t="shared" si="2"/>
        <v>150</v>
      </c>
      <c r="G27" s="51">
        <v>3</v>
      </c>
      <c r="H27" s="41">
        <f t="shared" si="3"/>
        <v>50</v>
      </c>
    </row>
    <row r="28" spans="1:8">
      <c r="A28" s="39"/>
      <c r="B28" s="39" t="s">
        <v>0</v>
      </c>
      <c r="C28" s="39" t="s">
        <v>33</v>
      </c>
      <c r="D28" s="46">
        <v>50</v>
      </c>
      <c r="E28" s="47">
        <v>3</v>
      </c>
      <c r="F28" s="40">
        <f t="shared" si="2"/>
        <v>150</v>
      </c>
      <c r="G28" s="51">
        <v>1</v>
      </c>
      <c r="H28" s="41">
        <f t="shared" si="3"/>
        <v>150</v>
      </c>
    </row>
    <row r="29" spans="1:8">
      <c r="A29" s="39"/>
      <c r="B29" s="39" t="s">
        <v>4</v>
      </c>
      <c r="C29" s="39" t="s">
        <v>33</v>
      </c>
      <c r="D29" s="46">
        <v>1000</v>
      </c>
      <c r="E29" s="47">
        <v>1</v>
      </c>
      <c r="F29" s="40">
        <f t="shared" si="2"/>
        <v>1000</v>
      </c>
      <c r="G29" s="51">
        <v>10</v>
      </c>
      <c r="H29" s="41">
        <f t="shared" si="3"/>
        <v>100</v>
      </c>
    </row>
    <row r="30" spans="1:8">
      <c r="A30" s="39"/>
      <c r="B30" s="39" t="s">
        <v>5</v>
      </c>
      <c r="C30" s="39" t="s">
        <v>33</v>
      </c>
      <c r="D30" s="46">
        <v>5</v>
      </c>
      <c r="E30" s="47">
        <v>10</v>
      </c>
      <c r="F30" s="40">
        <f t="shared" si="2"/>
        <v>50</v>
      </c>
      <c r="G30" s="51">
        <v>3</v>
      </c>
      <c r="H30" s="41">
        <f t="shared" si="3"/>
        <v>16.666666666666668</v>
      </c>
    </row>
    <row r="31" spans="1:8">
      <c r="A31" s="39"/>
      <c r="B31" s="39" t="s">
        <v>6</v>
      </c>
      <c r="C31" s="39" t="s">
        <v>33</v>
      </c>
      <c r="D31" s="46">
        <v>2</v>
      </c>
      <c r="E31" s="47">
        <v>10</v>
      </c>
      <c r="F31" s="40">
        <f t="shared" si="2"/>
        <v>20</v>
      </c>
      <c r="G31" s="51">
        <v>3</v>
      </c>
      <c r="H31" s="41">
        <f t="shared" si="3"/>
        <v>6.666666666666667</v>
      </c>
    </row>
    <row r="32" spans="1:8">
      <c r="A32" s="39"/>
      <c r="B32" s="39" t="s">
        <v>44</v>
      </c>
      <c r="C32" s="39" t="s">
        <v>33</v>
      </c>
      <c r="D32" s="46">
        <v>300</v>
      </c>
      <c r="E32" s="47">
        <v>1</v>
      </c>
      <c r="F32" s="40">
        <f t="shared" si="2"/>
        <v>300</v>
      </c>
      <c r="G32" s="51">
        <v>10</v>
      </c>
      <c r="H32" s="41">
        <f t="shared" si="3"/>
        <v>30</v>
      </c>
    </row>
    <row r="33" spans="1:8">
      <c r="A33" s="39"/>
      <c r="B33" s="39" t="s">
        <v>27</v>
      </c>
      <c r="C33" s="39" t="s">
        <v>47</v>
      </c>
      <c r="E33" s="30"/>
      <c r="F33" s="40">
        <f>SUM(F18:F32)</f>
        <v>52681.111111111109</v>
      </c>
      <c r="H33" s="41">
        <f>SUM(H18:H32)</f>
        <v>6835.5555555555566</v>
      </c>
    </row>
    <row r="34" spans="1:8">
      <c r="A34" s="39" t="s">
        <v>20</v>
      </c>
      <c r="B34" s="39"/>
      <c r="C34" s="39"/>
      <c r="F34" s="42">
        <f>F15+F33</f>
        <v>194649.36507936509</v>
      </c>
      <c r="H34" s="41"/>
    </row>
    <row r="35" spans="1:8">
      <c r="A35" s="39" t="s">
        <v>9</v>
      </c>
      <c r="B35" s="39"/>
      <c r="C35" s="39"/>
      <c r="F35" s="30"/>
      <c r="H35" s="43">
        <f>H15+H33</f>
        <v>8760.7142857142862</v>
      </c>
    </row>
    <row r="36" spans="1:8">
      <c r="A36" s="39"/>
      <c r="C36" s="39"/>
    </row>
  </sheetData>
  <phoneticPr fontId="1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3"/>
  <sheetViews>
    <sheetView tabSelected="1" zoomScale="125" zoomScaleNormal="125" zoomScalePageLayoutView="125" workbookViewId="0">
      <selection activeCell="H13" sqref="H13"/>
    </sheetView>
  </sheetViews>
  <sheetFormatPr defaultColWidth="10.85546875" defaultRowHeight="12"/>
  <cols>
    <col min="1" max="1" width="22.28515625" style="1" customWidth="1"/>
    <col min="2" max="2" width="23.42578125" style="1" customWidth="1"/>
    <col min="3" max="3" width="9.42578125" style="1" customWidth="1"/>
    <col min="4" max="4" width="7.85546875" style="1" bestFit="1" customWidth="1"/>
    <col min="5" max="5" width="20.42578125" style="1" customWidth="1"/>
    <col min="6" max="7" width="12.140625" style="1" customWidth="1"/>
    <col min="8" max="8" width="7.28515625" style="1" bestFit="1" customWidth="1"/>
    <col min="9" max="9" width="10.42578125" style="1" bestFit="1" customWidth="1"/>
    <col min="10" max="16384" width="10.85546875" style="1"/>
  </cols>
  <sheetData>
    <row r="1" spans="1:9" ht="21.95" customHeight="1">
      <c r="B1" s="12" t="s">
        <v>70</v>
      </c>
    </row>
    <row r="2" spans="1:9" ht="12.75" thickBot="1">
      <c r="A2" s="1" t="s">
        <v>64</v>
      </c>
      <c r="B2"/>
      <c r="C2"/>
      <c r="D2"/>
      <c r="E2"/>
      <c r="H2"/>
      <c r="I2"/>
    </row>
    <row r="3" spans="1:9">
      <c r="B3" s="16" t="s">
        <v>74</v>
      </c>
      <c r="C3" s="26">
        <f>F5/C4</f>
        <v>2.8571428571428572</v>
      </c>
      <c r="D3"/>
      <c r="E3" s="16" t="s">
        <v>89</v>
      </c>
      <c r="F3" s="21">
        <v>80</v>
      </c>
      <c r="H3"/>
      <c r="I3"/>
    </row>
    <row r="4" spans="1:9">
      <c r="B4" s="17" t="s">
        <v>75</v>
      </c>
      <c r="C4" s="18">
        <v>70000</v>
      </c>
      <c r="D4"/>
      <c r="E4" s="17" t="s">
        <v>65</v>
      </c>
      <c r="F4" s="27">
        <f>F5*(100/F3)</f>
        <v>250000</v>
      </c>
      <c r="G4" s="6"/>
      <c r="H4"/>
      <c r="I4"/>
    </row>
    <row r="5" spans="1:9">
      <c r="B5" s="17" t="s">
        <v>77</v>
      </c>
      <c r="C5" s="19">
        <v>50</v>
      </c>
      <c r="D5"/>
      <c r="E5" s="17" t="s">
        <v>66</v>
      </c>
      <c r="F5" s="27">
        <f>F6*(100/C5)</f>
        <v>200000</v>
      </c>
      <c r="G5" s="6"/>
      <c r="H5"/>
      <c r="I5"/>
    </row>
    <row r="6" spans="1:9" ht="12.75" thickBot="1">
      <c r="B6" s="20" t="s">
        <v>76</v>
      </c>
      <c r="C6" s="23">
        <f>LOOKUP(F9,values!B4:B14,values!C4:C14)</f>
        <v>42</v>
      </c>
      <c r="D6"/>
      <c r="E6" s="17" t="s">
        <v>63</v>
      </c>
      <c r="F6" s="27">
        <f>F7*(100/C10)</f>
        <v>100000</v>
      </c>
      <c r="G6" s="6"/>
      <c r="H6"/>
      <c r="I6"/>
    </row>
    <row r="7" spans="1:9" ht="12.75" thickBot="1">
      <c r="B7" s="24"/>
      <c r="C7" s="24"/>
      <c r="D7"/>
      <c r="E7" s="20" t="s">
        <v>67</v>
      </c>
      <c r="F7" s="28">
        <v>50000</v>
      </c>
      <c r="G7" s="6"/>
      <c r="H7"/>
      <c r="I7"/>
    </row>
    <row r="8" spans="1:9" ht="12.75" thickBot="1">
      <c r="B8" s="16" t="s">
        <v>85</v>
      </c>
      <c r="C8" s="29">
        <f>F6/C9</f>
        <v>3333.3333333333335</v>
      </c>
      <c r="D8"/>
      <c r="F8" s="6"/>
      <c r="G8" s="6"/>
      <c r="H8"/>
      <c r="I8"/>
    </row>
    <row r="9" spans="1:9">
      <c r="B9" s="17" t="s">
        <v>86</v>
      </c>
      <c r="C9" s="19">
        <v>30</v>
      </c>
      <c r="D9"/>
      <c r="E9" s="16" t="s">
        <v>90</v>
      </c>
      <c r="F9" s="21">
        <v>2</v>
      </c>
      <c r="G9" s="1" t="s">
        <v>91</v>
      </c>
      <c r="I9"/>
    </row>
    <row r="10" spans="1:9">
      <c r="B10" s="17" t="s">
        <v>87</v>
      </c>
      <c r="C10" s="19">
        <v>50</v>
      </c>
      <c r="D10"/>
      <c r="E10" s="25" t="s">
        <v>93</v>
      </c>
      <c r="F10" s="22">
        <f>LOOKUP(F9,values!B4:B14,values!D4:D14)</f>
        <v>1.03</v>
      </c>
    </row>
    <row r="11" spans="1:9">
      <c r="B11" s="17" t="s">
        <v>88</v>
      </c>
      <c r="C11" s="22">
        <f>LOOKUP(F11,values!B4:B14,values!C4:C14)-C6</f>
        <v>32</v>
      </c>
      <c r="D11"/>
      <c r="E11" s="17" t="s">
        <v>81</v>
      </c>
      <c r="F11" s="19">
        <v>3.5</v>
      </c>
      <c r="G11" s="1" t="s">
        <v>73</v>
      </c>
      <c r="I11"/>
    </row>
    <row r="12" spans="1:9" ht="12.75" thickBot="1">
      <c r="B12" s="17" t="s">
        <v>117</v>
      </c>
      <c r="C12" s="19">
        <v>8</v>
      </c>
      <c r="D12"/>
      <c r="E12" s="20" t="s">
        <v>82</v>
      </c>
      <c r="F12" s="23">
        <f>LOOKUP(F11,values!B4:B14,values!D4:D14)</f>
        <v>5.85</v>
      </c>
    </row>
    <row r="13" spans="1:9" ht="12.75" thickBot="1">
      <c r="B13" s="17" t="s">
        <v>92</v>
      </c>
      <c r="C13" s="19">
        <v>1.5</v>
      </c>
      <c r="D13"/>
    </row>
    <row r="14" spans="1:9">
      <c r="B14" s="55" t="s">
        <v>94</v>
      </c>
      <c r="C14" s="56">
        <v>52</v>
      </c>
      <c r="D14"/>
      <c r="E14" s="16" t="s">
        <v>97</v>
      </c>
      <c r="F14" s="58">
        <f>((C15-C14)*C8*C11*C16*24*0.00020238)*(D26/0.93)</f>
        <v>3367.6032</v>
      </c>
      <c r="G14" s="32" t="s">
        <v>118</v>
      </c>
    </row>
    <row r="15" spans="1:9" ht="12.75" thickBot="1">
      <c r="B15" s="17" t="s">
        <v>95</v>
      </c>
      <c r="C15" s="19">
        <v>65</v>
      </c>
      <c r="D15"/>
      <c r="E15" s="20" t="s">
        <v>98</v>
      </c>
      <c r="F15" s="54">
        <f>((C15-C14)*C8*C11*C16*24*0.0002896)*(D27/0.09)</f>
        <v>4818.9439999999995</v>
      </c>
      <c r="G15" s="33" t="s">
        <v>119</v>
      </c>
    </row>
    <row r="16" spans="1:9" ht="12.75" thickBot="1">
      <c r="A16" s="2"/>
      <c r="B16" s="20" t="s">
        <v>99</v>
      </c>
      <c r="C16" s="31">
        <v>0.5</v>
      </c>
      <c r="D16" s="2"/>
      <c r="E16" s="2"/>
      <c r="F16" s="2"/>
      <c r="G16" s="2"/>
      <c r="H16" s="2" t="s">
        <v>48</v>
      </c>
      <c r="I16" s="2" t="s">
        <v>50</v>
      </c>
    </row>
    <row r="17" spans="1:9">
      <c r="A17" s="3" t="s">
        <v>12</v>
      </c>
      <c r="B17" s="3" t="s">
        <v>13</v>
      </c>
      <c r="C17" s="3" t="s">
        <v>14</v>
      </c>
      <c r="D17" s="3" t="s">
        <v>15</v>
      </c>
      <c r="E17" s="3" t="s">
        <v>16</v>
      </c>
      <c r="F17" s="3" t="s">
        <v>113</v>
      </c>
      <c r="G17" s="3" t="s">
        <v>106</v>
      </c>
      <c r="H17" s="3" t="s">
        <v>49</v>
      </c>
      <c r="I17" s="3" t="s">
        <v>49</v>
      </c>
    </row>
    <row r="18" spans="1:9">
      <c r="A18" s="1" t="s">
        <v>114</v>
      </c>
    </row>
    <row r="19" spans="1:9">
      <c r="B19" s="1" t="s">
        <v>69</v>
      </c>
      <c r="C19" s="1" t="s">
        <v>78</v>
      </c>
      <c r="D19" s="34">
        <v>100</v>
      </c>
      <c r="E19" s="36">
        <f>C3</f>
        <v>2.8571428571428572</v>
      </c>
      <c r="F19" s="37">
        <f>D19*E19</f>
        <v>285.71428571428572</v>
      </c>
      <c r="G19" s="48"/>
      <c r="H19" s="7">
        <f>F19*100/F49</f>
        <v>1.8304718703070346</v>
      </c>
      <c r="I19" s="7">
        <f>F19*100/F35</f>
        <v>3.4731253624479477</v>
      </c>
    </row>
    <row r="20" spans="1:9">
      <c r="B20" s="1" t="s">
        <v>52</v>
      </c>
      <c r="C20" s="1" t="s">
        <v>35</v>
      </c>
      <c r="D20" s="35">
        <v>2.09</v>
      </c>
      <c r="E20" s="13">
        <v>100</v>
      </c>
      <c r="F20" s="37">
        <f>D20*E20</f>
        <v>209</v>
      </c>
      <c r="G20" s="48"/>
      <c r="H20" s="7">
        <f>F20*100/F49</f>
        <v>1.3389901731295957</v>
      </c>
      <c r="I20" s="7">
        <f>F20*100/F35</f>
        <v>2.5405912026306736</v>
      </c>
    </row>
    <row r="21" spans="1:9">
      <c r="B21" s="1" t="s">
        <v>100</v>
      </c>
      <c r="C21" s="1" t="s">
        <v>53</v>
      </c>
      <c r="D21" s="35">
        <v>0.09</v>
      </c>
      <c r="E21" s="15">
        <v>1100</v>
      </c>
      <c r="F21" s="37">
        <f>D21*E21</f>
        <v>99</v>
      </c>
      <c r="G21" s="48"/>
      <c r="H21" s="7">
        <f>F21*100/F49</f>
        <v>0.63425850306138742</v>
      </c>
      <c r="I21" s="7">
        <f>F21*100/F35</f>
        <v>1.2034379380882139</v>
      </c>
    </row>
    <row r="22" spans="1:9">
      <c r="B22" s="1" t="s">
        <v>71</v>
      </c>
      <c r="C22" s="1" t="s">
        <v>36</v>
      </c>
      <c r="D22" s="35">
        <v>9.3800000000000008</v>
      </c>
      <c r="E22" s="13">
        <v>23</v>
      </c>
      <c r="F22" s="37">
        <f>D22*E22</f>
        <v>215.74</v>
      </c>
      <c r="G22" s="48"/>
      <c r="H22" s="7">
        <f>F22*100/F49</f>
        <v>1.3821710045501387</v>
      </c>
      <c r="I22" s="7">
        <f>F22*100/F35</f>
        <v>2.6225222299308206</v>
      </c>
    </row>
    <row r="23" spans="1:9">
      <c r="A23" s="1" t="s">
        <v>115</v>
      </c>
    </row>
    <row r="24" spans="1:9">
      <c r="A24" s="1" t="s">
        <v>84</v>
      </c>
      <c r="B24" s="1" t="s">
        <v>10</v>
      </c>
      <c r="C24" s="1" t="s">
        <v>34</v>
      </c>
      <c r="D24" s="34">
        <v>0.7</v>
      </c>
      <c r="E24" s="15">
        <f>(F7*(F12-F10)*C13)/454</f>
        <v>796.25550660792942</v>
      </c>
      <c r="F24" s="8">
        <f>D24*E24</f>
        <v>557.3788546255505</v>
      </c>
      <c r="G24" s="5"/>
      <c r="H24" s="7">
        <f>F24*100/F49</f>
        <v>3.5709321007360844</v>
      </c>
      <c r="I24" s="7">
        <f>F24*100/F35</f>
        <v>6.7754632277226543</v>
      </c>
    </row>
    <row r="25" spans="1:9">
      <c r="B25" s="1" t="s">
        <v>68</v>
      </c>
      <c r="C25" s="1" t="s">
        <v>34</v>
      </c>
      <c r="D25" s="34">
        <v>0.37</v>
      </c>
      <c r="E25" s="14">
        <v>500</v>
      </c>
      <c r="F25" s="8">
        <f>D25*E25</f>
        <v>185</v>
      </c>
      <c r="G25" s="5"/>
      <c r="H25" s="7">
        <f>F25*100/F49</f>
        <v>1.1852305360238049</v>
      </c>
      <c r="I25" s="7">
        <f>F25*100/F35</f>
        <v>2.248848672185046</v>
      </c>
    </row>
    <row r="26" spans="1:9">
      <c r="B26" s="1" t="s">
        <v>109</v>
      </c>
      <c r="C26" s="1" t="s">
        <v>96</v>
      </c>
      <c r="D26" s="35">
        <v>0.93</v>
      </c>
      <c r="E26" s="52">
        <v>3367.6</v>
      </c>
      <c r="F26" s="8">
        <f>E26*D26/0.93</f>
        <v>3367.6</v>
      </c>
      <c r="G26" s="5"/>
      <c r="H26" s="7">
        <f>F26*100/F49</f>
        <v>21.575039746560893</v>
      </c>
      <c r="I26" s="7">
        <f>F26*100/F35</f>
        <v>40.936339397028974</v>
      </c>
    </row>
    <row r="27" spans="1:9">
      <c r="B27" s="1" t="s">
        <v>110</v>
      </c>
      <c r="C27" s="1" t="s">
        <v>53</v>
      </c>
      <c r="D27" s="34">
        <v>0.09</v>
      </c>
      <c r="E27" s="52">
        <v>0</v>
      </c>
      <c r="F27" s="8">
        <f>E27*D27/0.09</f>
        <v>0</v>
      </c>
      <c r="G27" s="5"/>
      <c r="H27" s="7">
        <f>F27*100/F49</f>
        <v>0</v>
      </c>
      <c r="I27" s="7">
        <f>F27*100/F35</f>
        <v>0</v>
      </c>
    </row>
    <row r="28" spans="1:9">
      <c r="B28" s="1" t="s">
        <v>72</v>
      </c>
      <c r="C28" s="1" t="s">
        <v>36</v>
      </c>
      <c r="D28" s="34">
        <v>12.5</v>
      </c>
      <c r="E28" s="15">
        <f>C12*C11</f>
        <v>256</v>
      </c>
      <c r="F28" s="8">
        <f>D28*E28</f>
        <v>3200</v>
      </c>
      <c r="G28" s="5"/>
      <c r="H28" s="7">
        <f>F28*100/F49</f>
        <v>20.501284947438787</v>
      </c>
      <c r="I28" s="7">
        <f>F28*100/F35</f>
        <v>38.89900405941701</v>
      </c>
    </row>
    <row r="29" spans="1:9">
      <c r="D29" s="4"/>
      <c r="E29" s="6"/>
      <c r="F29" s="5"/>
      <c r="G29" s="5"/>
      <c r="H29"/>
      <c r="I29"/>
    </row>
    <row r="30" spans="1:9">
      <c r="A30" s="1" t="s">
        <v>31</v>
      </c>
      <c r="D30" s="4"/>
      <c r="E30" s="6"/>
      <c r="F30" s="8">
        <f>SUM(F16:F28)</f>
        <v>8119.4331403398364</v>
      </c>
      <c r="G30" s="5"/>
      <c r="H30" s="7">
        <f>F30*100/F49</f>
        <v>52.018378881807728</v>
      </c>
      <c r="I30" s="7">
        <f>F30*100/F35</f>
        <v>98.699332089451346</v>
      </c>
    </row>
    <row r="31" spans="1:9">
      <c r="F31" s="5"/>
      <c r="G31" s="5"/>
      <c r="H31"/>
      <c r="I31"/>
    </row>
    <row r="32" spans="1:9">
      <c r="A32" s="1" t="s">
        <v>21</v>
      </c>
      <c r="F32" s="5"/>
      <c r="G32" s="5"/>
      <c r="H32"/>
      <c r="I32"/>
    </row>
    <row r="33" spans="1:9">
      <c r="A33" s="10"/>
      <c r="B33" s="1" t="s">
        <v>22</v>
      </c>
      <c r="C33" s="1" t="s">
        <v>11</v>
      </c>
      <c r="D33" s="11">
        <v>6.5</v>
      </c>
      <c r="F33" s="5">
        <f>F30*D33/100*((C6+C11)/365)</f>
        <v>106.99855727406744</v>
      </c>
      <c r="G33" s="5"/>
      <c r="H33"/>
      <c r="I33" s="7">
        <f>F33*100/F35</f>
        <v>1.3006679105486603</v>
      </c>
    </row>
    <row r="34" spans="1:9">
      <c r="B34" s="1" t="s">
        <v>101</v>
      </c>
      <c r="F34" s="5"/>
      <c r="G34" s="5"/>
      <c r="H34"/>
      <c r="I34"/>
    </row>
    <row r="35" spans="1:9">
      <c r="A35" s="1" t="s">
        <v>32</v>
      </c>
      <c r="F35" s="8">
        <f>F30+F33</f>
        <v>8226.4316976139035</v>
      </c>
      <c r="G35" s="5"/>
      <c r="H35" s="7">
        <f>F35*100/F49</f>
        <v>52.703881354195381</v>
      </c>
      <c r="I35" s="36">
        <f>F35*100/F35</f>
        <v>100</v>
      </c>
    </row>
    <row r="36" spans="1:9" ht="12.75" thickBot="1">
      <c r="A36" s="1" t="s">
        <v>102</v>
      </c>
      <c r="F36" s="6">
        <f>F7</f>
        <v>50000</v>
      </c>
      <c r="G36" s="6"/>
    </row>
    <row r="37" spans="1:9" ht="12.75" thickBot="1">
      <c r="A37" s="1" t="s">
        <v>103</v>
      </c>
      <c r="F37" s="38">
        <f>F35/(F36*F11)</f>
        <v>4.7008181129222303E-2</v>
      </c>
      <c r="G37" s="49"/>
    </row>
    <row r="38" spans="1:9">
      <c r="F38" s="4"/>
      <c r="G38" s="4"/>
    </row>
    <row r="39" spans="1:9">
      <c r="A39" s="1" t="s">
        <v>107</v>
      </c>
      <c r="F39" s="4"/>
      <c r="G39" s="4"/>
    </row>
    <row r="40" spans="1:9">
      <c r="B40" s="1" t="s">
        <v>111</v>
      </c>
      <c r="F40" s="5">
        <f>G40*((C6+C11)/365)</f>
        <v>1776.1448140900197</v>
      </c>
      <c r="G40" s="5">
        <f>investment!H35</f>
        <v>8760.7142857142862</v>
      </c>
      <c r="H40" s="7">
        <f>F40*100/F49</f>
        <v>11.379140919242245</v>
      </c>
      <c r="I40" s="7"/>
    </row>
    <row r="41" spans="1:9">
      <c r="B41" s="1" t="s">
        <v>38</v>
      </c>
      <c r="G41" s="5"/>
    </row>
    <row r="42" spans="1:9">
      <c r="G42" s="5"/>
    </row>
    <row r="43" spans="1:9">
      <c r="B43" s="1" t="s">
        <v>23</v>
      </c>
      <c r="F43" s="5">
        <f>G43*((C6+C11)/365)</f>
        <v>2565.1053315938248</v>
      </c>
      <c r="G43" s="5">
        <f>investment!F34*D33/100</f>
        <v>12652.208730158731</v>
      </c>
      <c r="H43" s="7">
        <f>F43*100/F49</f>
        <v>16.433736038499831</v>
      </c>
      <c r="I43" s="7"/>
    </row>
    <row r="44" spans="1:9">
      <c r="B44" s="1" t="s">
        <v>24</v>
      </c>
      <c r="F44" s="5">
        <f>G44*((C6+C11)/365)</f>
        <v>405.47945205479454</v>
      </c>
      <c r="G44" s="50">
        <v>2000</v>
      </c>
      <c r="H44" s="7">
        <f>F44*100/F49</f>
        <v>2.5977655584083394</v>
      </c>
    </row>
    <row r="45" spans="1:9">
      <c r="B45" s="1" t="s">
        <v>25</v>
      </c>
      <c r="F45" s="5">
        <f>G45*((C6+C11)/365)</f>
        <v>608.21917808219177</v>
      </c>
      <c r="G45" s="50">
        <v>3000</v>
      </c>
      <c r="H45" s="7">
        <f>F45*100/F49</f>
        <v>3.8966483376125094</v>
      </c>
      <c r="I45" s="9"/>
    </row>
    <row r="46" spans="1:9">
      <c r="B46" s="1" t="s">
        <v>26</v>
      </c>
      <c r="F46" s="5">
        <f>G46*((C6+C11)/365)</f>
        <v>2027.3972602739725</v>
      </c>
      <c r="G46" s="50">
        <v>10000</v>
      </c>
      <c r="H46" s="7">
        <f>F46*100/F49</f>
        <v>12.988827792041697</v>
      </c>
      <c r="I46" s="7"/>
    </row>
    <row r="47" spans="1:9">
      <c r="A47" s="1" t="s">
        <v>108</v>
      </c>
      <c r="F47" s="8">
        <f>SUM(F40:F46)</f>
        <v>7382.3460360948029</v>
      </c>
      <c r="G47" s="8">
        <f>SUM(G40:G46)</f>
        <v>36412.923015873021</v>
      </c>
      <c r="H47" s="7">
        <f>F47*100/F49</f>
        <v>47.296118645804619</v>
      </c>
      <c r="I47" s="7"/>
    </row>
    <row r="48" spans="1:9">
      <c r="G48" s="5"/>
    </row>
    <row r="49" spans="1:9">
      <c r="A49" s="1" t="s">
        <v>17</v>
      </c>
      <c r="F49" s="8">
        <f>F35+F47</f>
        <v>15608.777733708706</v>
      </c>
      <c r="G49" s="8">
        <f>F35+G47</f>
        <v>44639.354713486922</v>
      </c>
      <c r="H49" s="36">
        <f>F49*100/F49</f>
        <v>100</v>
      </c>
      <c r="I49" s="7"/>
    </row>
    <row r="50" spans="1:9" ht="12.75" thickBot="1">
      <c r="A50" s="1" t="s">
        <v>102</v>
      </c>
      <c r="F50" s="6">
        <f>F36</f>
        <v>50000</v>
      </c>
      <c r="G50" s="6">
        <f>F36</f>
        <v>50000</v>
      </c>
    </row>
    <row r="51" spans="1:9" ht="12.75" thickBot="1">
      <c r="A51" s="1" t="s">
        <v>105</v>
      </c>
      <c r="F51" s="38">
        <f>F49/(F50*F11)</f>
        <v>8.9193015621192612E-2</v>
      </c>
      <c r="G51" s="38">
        <f>G49/(G50*F11)</f>
        <v>0.255082026934211</v>
      </c>
    </row>
    <row r="52" spans="1:9" ht="12.75" thickBot="1">
      <c r="A52" s="1" t="s">
        <v>116</v>
      </c>
      <c r="F52" s="57">
        <f>F51*F11</f>
        <v>0.31217555467417413</v>
      </c>
    </row>
    <row r="62" spans="1:9" ht="2.1" customHeight="1"/>
    <row r="63" spans="1:9" hidden="1"/>
  </sheetData>
  <phoneticPr fontId="1"/>
  <pageMargins left="0.75" right="0.75" top="1" bottom="1" header="0.5" footer="0.5"/>
  <pageSetup orientation="landscape" horizontalDpi="4294967292" verticalDpi="4294967292"/>
  <ignoredErrors>
    <ignoredError sqref="F30 F47:G47" emptyCellReference="1"/>
    <ignoredError sqref="H20:I20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I14"/>
  <sheetViews>
    <sheetView topLeftCell="B1" workbookViewId="0">
      <selection activeCell="G5" sqref="G5"/>
    </sheetView>
  </sheetViews>
  <sheetFormatPr defaultColWidth="11.42578125" defaultRowHeight="15" customHeight="1"/>
  <cols>
    <col min="8" max="8" width="10.85546875" customWidth="1"/>
    <col min="9" max="9" width="12.140625" customWidth="1"/>
  </cols>
  <sheetData>
    <row r="3" spans="2:9" ht="15" customHeight="1">
      <c r="B3" t="s">
        <v>79</v>
      </c>
      <c r="C3" t="s">
        <v>80</v>
      </c>
      <c r="D3" t="s">
        <v>83</v>
      </c>
      <c r="I3" s="53" t="s">
        <v>112</v>
      </c>
    </row>
    <row r="4" spans="2:9" ht="15" customHeight="1">
      <c r="B4">
        <v>1</v>
      </c>
      <c r="C4">
        <v>22</v>
      </c>
      <c r="D4">
        <v>0.115</v>
      </c>
    </row>
    <row r="5" spans="2:9" ht="15" customHeight="1">
      <c r="B5">
        <v>1.5</v>
      </c>
      <c r="C5">
        <v>32</v>
      </c>
      <c r="D5">
        <v>0.42</v>
      </c>
    </row>
    <row r="6" spans="2:9" ht="15" customHeight="1">
      <c r="B6">
        <v>2</v>
      </c>
      <c r="C6">
        <v>42</v>
      </c>
      <c r="D6">
        <v>1.03</v>
      </c>
    </row>
    <row r="7" spans="2:9" ht="15" customHeight="1">
      <c r="B7">
        <v>2.5</v>
      </c>
      <c r="C7">
        <v>53</v>
      </c>
      <c r="D7">
        <v>2.8</v>
      </c>
    </row>
    <row r="8" spans="2:9" ht="15" customHeight="1">
      <c r="B8">
        <v>3</v>
      </c>
      <c r="C8">
        <v>62</v>
      </c>
      <c r="D8">
        <v>4.2</v>
      </c>
    </row>
    <row r="9" spans="2:9" ht="15" customHeight="1">
      <c r="B9">
        <v>3.5</v>
      </c>
      <c r="C9">
        <v>74</v>
      </c>
      <c r="D9">
        <v>5.85</v>
      </c>
    </row>
    <row r="10" spans="2:9" ht="15" customHeight="1">
      <c r="B10">
        <v>4</v>
      </c>
      <c r="C10">
        <v>89</v>
      </c>
      <c r="D10">
        <v>10.07</v>
      </c>
    </row>
    <row r="11" spans="2:9" ht="15" customHeight="1">
      <c r="B11">
        <v>4.5</v>
      </c>
      <c r="C11">
        <v>105</v>
      </c>
      <c r="D11">
        <v>14.9</v>
      </c>
    </row>
    <row r="12" spans="2:9" ht="15" customHeight="1">
      <c r="B12">
        <v>5</v>
      </c>
      <c r="C12">
        <v>121</v>
      </c>
      <c r="D12">
        <v>19.75</v>
      </c>
    </row>
    <row r="13" spans="2:9" ht="15" customHeight="1">
      <c r="B13">
        <v>5.5</v>
      </c>
      <c r="C13">
        <v>135</v>
      </c>
      <c r="D13">
        <v>23.52</v>
      </c>
    </row>
    <row r="14" spans="2:9" ht="15" customHeight="1">
      <c r="B14">
        <v>6</v>
      </c>
      <c r="C14">
        <v>151</v>
      </c>
      <c r="D14">
        <v>30.88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ternateThumbnailUrl xmlns="http://schemas.microsoft.com/sharepoint/v3">
      <Url xsi:nil="true"/>
      <Description xsi:nil="true"/>
    </AlternateThumbnailUrl>
    <ImageCreateDate xmlns="http://schemas.microsoft.com/sharepoint/v3" xsi:nil="true"/>
    <Description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icture" ma:contentTypeID="0x01010200A37C87FF337C7F4C8E9C57B2B876B502" ma:contentTypeVersion="0" ma:contentTypeDescription="Upload an image or a photograph." ma:contentTypeScope="" ma:versionID="b3e4208279eb148da73abf11484567a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3de89927404324d19f63e1bc90a45d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mageWidth" minOccurs="0"/>
                <xsd:element ref="ns1:ImageHeight" minOccurs="0"/>
                <xsd:element ref="ns1:ImageCreateDate" minOccurs="0"/>
                <xsd:element ref="ns1:Description" minOccurs="0"/>
                <xsd:element ref="ns1:ThumbnailExists" minOccurs="0"/>
                <xsd:element ref="ns1:PreviewExists" minOccurs="0"/>
                <xsd:element ref="ns1:AlternateThumbnail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geWidth" ma:index="11" nillable="true" ma:displayName="Picture Width" ma:internalName="ImageWidth" ma:readOnly="true">
      <xsd:simpleType>
        <xsd:restriction base="dms:Unknown"/>
      </xsd:simpleType>
    </xsd:element>
    <xsd:element name="ImageHeight" ma:index="12" nillable="true" ma:displayName="Picture Height" ma:internalName="ImageHeight" ma:readOnly="true">
      <xsd:simpleType>
        <xsd:restriction base="dms:Unknown"/>
      </xsd:simpleType>
    </xsd:element>
    <xsd:element name="ImageCreateDate" ma:index="13" nillable="true" ma:displayName="Date Picture Taken" ma:format="DateTime" ma:hidden="true" ma:internalName="ImageCreateDate">
      <xsd:simpleType>
        <xsd:restriction base="dms:DateTime"/>
      </xsd:simpleType>
    </xsd:element>
    <xsd:element name="Description" ma:index="14" nillable="true" ma:displayName="Description" ma:description="Used as alternative text for the picture." ma:hidden="true" ma:internalName="Description">
      <xsd:simpleType>
        <xsd:restriction base="dms:Note">
          <xsd:maxLength value="255"/>
        </xsd:restriction>
      </xsd:simpleType>
    </xsd:element>
    <xsd:element name="ThumbnailExists" ma:index="23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24" nillable="true" ma:displayName="Preview Exists" ma:default="FALSE" ma:hidden="true" ma:internalName="PreviewExists" ma:readOnly="true">
      <xsd:simpleType>
        <xsd:restriction base="dms:Boolean"/>
      </xsd:simpleType>
    </xsd:element>
    <xsd:element name="AlternateThumbnailUrl" ma:index="25" nillable="true" ma:displayName="Preview Image URL" ma:format="Image" ma:hidden="true" ma:internalName="AlternateThumbnail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8" ma:displayName="Title"/>
        <xsd:element ref="dc:subject" minOccurs="0" maxOccurs="1"/>
        <xsd:element ref="dc:description" minOccurs="0" maxOccurs="1"/>
        <xsd:element name="keywords" minOccurs="0" maxOccurs="1" type="xsd:string" ma:index="2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BBC9C1-4FAF-4BD8-AE2E-C88952B2983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8238A030-BAAF-463C-8CD8-5241090B66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69562F-371B-4B51-93DE-E43E981B08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investment</vt:lpstr>
      <vt:lpstr>analysis</vt:lpstr>
      <vt:lpstr>values</vt:lpstr>
      <vt:lpstr>analysis!Print_Area</vt:lpstr>
    </vt:vector>
  </TitlesOfParts>
  <Company>uwap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Pond Fingerling Model </dc:title>
  <dc:creator>james held</dc:creator>
  <cp:keywords/>
  <cp:lastModifiedBy>Hauser, Emma</cp:lastModifiedBy>
  <cp:lastPrinted>2006-01-04T21:34:37Z</cp:lastPrinted>
  <dcterms:created xsi:type="dcterms:W3CDTF">2002-12-03T20:37:15Z</dcterms:created>
  <dcterms:modified xsi:type="dcterms:W3CDTF">2023-05-09T21:14:02Z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0x01010200A37C87FF337C7F4C8E9C57B2B876B502</vt:lpwstr>
  </property>
</Properties>
</file>