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85" windowWidth="17280" windowHeight="9990" activeTab="0"/>
  </bookViews>
  <sheets>
    <sheet name="ONE" sheetId="1" r:id="rId1"/>
    <sheet name="TWO" sheetId="2" r:id="rId2"/>
    <sheet name="THREE" sheetId="3" r:id="rId3"/>
    <sheet name="FOUR" sheetId="4" r:id="rId4"/>
    <sheet name="FIVE" sheetId="5" r:id="rId5"/>
    <sheet name="SIX" sheetId="6" r:id="rId6"/>
    <sheet name="SEVEN" sheetId="7" r:id="rId7"/>
    <sheet name="EIGHT" sheetId="8" r:id="rId8"/>
    <sheet name="NINE" sheetId="9" r:id="rId9"/>
    <sheet name="TEN" sheetId="10" r:id="rId10"/>
    <sheet name="ELEVEN" sheetId="11" r:id="rId11"/>
    <sheet name="Revenue Sum" sheetId="12" r:id="rId12"/>
    <sheet name="Expenditure Sum" sheetId="13" r:id="rId13"/>
  </sheets>
  <externalReferences>
    <externalReference r:id="rId16"/>
  </externalReferences>
  <definedNames/>
  <calcPr fullCalcOnLoad="1"/>
</workbook>
</file>

<file path=xl/comments10.xml><?xml version="1.0" encoding="utf-8"?>
<comments xmlns="http://schemas.openxmlformats.org/spreadsheetml/2006/main">
  <authors>
    <author>VK</author>
  </authors>
  <commentList>
    <comment ref="C30" authorId="0">
      <text>
        <r>
          <rPr>
            <b/>
            <sz val="11"/>
            <rFont val="Arial"/>
            <family val="2"/>
          </rPr>
          <t>Instructions:</t>
        </r>
        <r>
          <rPr>
            <sz val="11"/>
            <rFont val="Arial"/>
            <family val="2"/>
          </rPr>
          <t xml:space="preserve">
Enter description of the other financing uses in this cell.  It is OK if the description is longer than what the cell will display on screen.</t>
        </r>
      </text>
    </comment>
  </commentList>
</comments>
</file>

<file path=xl/comments11.xml><?xml version="1.0" encoding="utf-8"?>
<comments xmlns="http://schemas.openxmlformats.org/spreadsheetml/2006/main">
  <authors>
    <author>VK</author>
  </authors>
  <commentList>
    <comment ref="C20" authorId="0">
      <text>
        <r>
          <rPr>
            <b/>
            <sz val="11"/>
            <rFont val="Arial"/>
            <family val="2"/>
          </rPr>
          <t>Instructions:</t>
        </r>
        <r>
          <rPr>
            <sz val="11"/>
            <rFont val="Arial"/>
            <family val="2"/>
          </rPr>
          <t xml:space="preserve">
Enter description of the other adjustments in this cell.  It is OK if the description is longer than what the cell will display on screen.</t>
        </r>
      </text>
    </comment>
    <comment ref="C35" authorId="0">
      <text>
        <r>
          <rPr>
            <b/>
            <sz val="11"/>
            <rFont val="Arial"/>
            <family val="2"/>
          </rPr>
          <t>Instructions:</t>
        </r>
        <r>
          <rPr>
            <sz val="11"/>
            <rFont val="Arial"/>
            <family val="2"/>
          </rPr>
          <t xml:space="preserve">
Enter description of the other adjustments in this cell.  It is OK if the description is longer than what the cell will display on screen.</t>
        </r>
      </text>
    </comment>
  </commentList>
</comments>
</file>

<file path=xl/comments2.xml><?xml version="1.0" encoding="utf-8"?>
<comments xmlns="http://schemas.openxmlformats.org/spreadsheetml/2006/main">
  <authors>
    <author>VK</author>
  </authors>
  <commentList>
    <comment ref="C35" authorId="0">
      <text>
        <r>
          <rPr>
            <b/>
            <sz val="11"/>
            <rFont val="Arial"/>
            <family val="2"/>
          </rPr>
          <t>Instructions:</t>
        </r>
        <r>
          <rPr>
            <sz val="11"/>
            <rFont val="Arial"/>
            <family val="2"/>
          </rPr>
          <t xml:space="preserve">
Enter description of other taxes in this cell.  It is OK if the description is longer than what the cell will display on screen.</t>
        </r>
      </text>
    </comment>
  </commentList>
</comments>
</file>

<file path=xl/comments3.xml><?xml version="1.0" encoding="utf-8"?>
<comments xmlns="http://schemas.openxmlformats.org/spreadsheetml/2006/main">
  <authors>
    <author>VK</author>
  </authors>
  <commentList>
    <comment ref="C35" authorId="0">
      <text>
        <r>
          <rPr>
            <b/>
            <sz val="11"/>
            <rFont val="Arial"/>
            <family val="2"/>
          </rPr>
          <t>Instructions:</t>
        </r>
        <r>
          <rPr>
            <sz val="11"/>
            <rFont val="Arial"/>
            <family val="2"/>
          </rPr>
          <t xml:space="preserve">
Enter description of other state payments in this cell.  It is OK if the description is longer than what the cell will display on screen.</t>
        </r>
      </text>
    </comment>
    <comment ref="C42" authorId="0">
      <text>
        <r>
          <rPr>
            <b/>
            <sz val="11"/>
            <rFont val="Arial"/>
            <family val="2"/>
          </rPr>
          <t>Instructions:</t>
        </r>
        <r>
          <rPr>
            <sz val="11"/>
            <rFont val="Arial"/>
            <family val="2"/>
          </rPr>
          <t xml:space="preserve">
Enter description of other local government grants in this cell.  It is OK if the description is longer than what the cell will display on screen.</t>
        </r>
      </text>
    </comment>
    <comment ref="C53" authorId="0">
      <text>
        <r>
          <rPr>
            <b/>
            <sz val="11"/>
            <rFont val="Arial"/>
            <family val="2"/>
          </rPr>
          <t>Instructions:</t>
        </r>
        <r>
          <rPr>
            <sz val="11"/>
            <rFont val="Arial"/>
            <family val="2"/>
          </rPr>
          <t xml:space="preserve">
Enter description of other local government grants in this cell.  It is OK if the description is longer than what the cell will display on screen.</t>
        </r>
      </text>
    </comment>
  </commentList>
</comments>
</file>

<file path=xl/comments4.xml><?xml version="1.0" encoding="utf-8"?>
<comments xmlns="http://schemas.openxmlformats.org/spreadsheetml/2006/main">
  <authors>
    <author>VK</author>
  </authors>
  <commentList>
    <comment ref="C57" authorId="0">
      <text>
        <r>
          <rPr>
            <b/>
            <sz val="11"/>
            <rFont val="Arial"/>
            <family val="2"/>
          </rPr>
          <t>Instructions:</t>
        </r>
        <r>
          <rPr>
            <sz val="11"/>
            <rFont val="Arial"/>
            <family val="2"/>
          </rPr>
          <t xml:space="preserve">
Enter description of other public charges for services in this cell.  It is OK if the description is longer than what the cell will display on screen.</t>
        </r>
      </text>
    </comment>
  </commentList>
</comments>
</file>

<file path=xl/comments7.xml><?xml version="1.0" encoding="utf-8"?>
<comments xmlns="http://schemas.openxmlformats.org/spreadsheetml/2006/main">
  <authors>
    <author>VK</author>
  </authors>
  <commentList>
    <comment ref="C26" authorId="0">
      <text>
        <r>
          <rPr>
            <b/>
            <sz val="11"/>
            <rFont val="Arial"/>
            <family val="2"/>
          </rPr>
          <t>Instructions:</t>
        </r>
        <r>
          <rPr>
            <sz val="11"/>
            <rFont val="Arial"/>
            <family val="2"/>
          </rPr>
          <t xml:space="preserve">
Enter description of other general government expenditures in this cell.  It is OK if the description is longer than what the cell will display on screen.</t>
        </r>
      </text>
    </comment>
  </commentList>
</comments>
</file>

<file path=xl/comments8.xml><?xml version="1.0" encoding="utf-8"?>
<comments xmlns="http://schemas.openxmlformats.org/spreadsheetml/2006/main">
  <authors>
    <author>VK</author>
  </authors>
  <commentList>
    <comment ref="C16" authorId="0">
      <text>
        <r>
          <rPr>
            <b/>
            <sz val="11"/>
            <rFont val="Arial"/>
            <family val="2"/>
          </rPr>
          <t>Instructions:</t>
        </r>
        <r>
          <rPr>
            <sz val="11"/>
            <rFont val="Arial"/>
            <family val="2"/>
          </rPr>
          <t xml:space="preserve">
Enter description of other transportation facility expenditures in this cell.  It is OK if the description is longer than what the cell will display on screen.</t>
        </r>
      </text>
    </comment>
    <comment ref="C24" authorId="0">
      <text>
        <r>
          <rPr>
            <b/>
            <sz val="11"/>
            <rFont val="Arial"/>
            <family val="2"/>
          </rPr>
          <t>Instructions:</t>
        </r>
        <r>
          <rPr>
            <sz val="11"/>
            <rFont val="Arial"/>
            <family val="2"/>
          </rPr>
          <t xml:space="preserve">
Enter description of other sanitation expenditures in this cell.  It is OK if the description is longer than what the cell will display on screen.</t>
        </r>
      </text>
    </comment>
  </commentList>
</comments>
</file>

<file path=xl/sharedStrings.xml><?xml version="1.0" encoding="utf-8"?>
<sst xmlns="http://schemas.openxmlformats.org/spreadsheetml/2006/main" count="567" uniqueCount="478">
  <si>
    <t>130-57220</t>
  </si>
  <si>
    <t>130-57230</t>
  </si>
  <si>
    <t>130-57261</t>
  </si>
  <si>
    <t>130-57269</t>
  </si>
  <si>
    <t>130-57290</t>
  </si>
  <si>
    <t xml:space="preserve">           Highway and street:</t>
  </si>
  <si>
    <t>130-57324</t>
  </si>
  <si>
    <t>130-57327</t>
  </si>
  <si>
    <t>130-57331</t>
  </si>
  <si>
    <t>130-57332</t>
  </si>
  <si>
    <t>130-57333</t>
  </si>
  <si>
    <t xml:space="preserve">           Road related facilities:</t>
  </si>
  <si>
    <t>130-57341</t>
  </si>
  <si>
    <t>130-57342</t>
  </si>
  <si>
    <t>130-57343</t>
  </si>
  <si>
    <t>130-57344</t>
  </si>
  <si>
    <t>130-57345</t>
  </si>
  <si>
    <t>130-57346</t>
  </si>
  <si>
    <t xml:space="preserve">           Other transportation:</t>
  </si>
  <si>
    <t>130-57351</t>
  </si>
  <si>
    <t>130-57352</t>
  </si>
  <si>
    <t>130-57354</t>
  </si>
  <si>
    <t>130-57391</t>
  </si>
  <si>
    <r>
      <t xml:space="preserve">  </t>
    </r>
    <r>
      <rPr>
        <b/>
        <sz val="12"/>
        <rFont val="Arial"/>
        <family val="2"/>
      </rPr>
      <t xml:space="preserve">  Sanitation:</t>
    </r>
  </si>
  <si>
    <t>130-57410</t>
  </si>
  <si>
    <t>130-57420</t>
  </si>
  <si>
    <t>130-57431</t>
  </si>
  <si>
    <t>130-57435</t>
  </si>
  <si>
    <t>130-57490</t>
  </si>
  <si>
    <r>
      <t xml:space="preserve">  </t>
    </r>
    <r>
      <rPr>
        <b/>
        <sz val="12"/>
        <rFont val="Arial"/>
        <family val="2"/>
      </rPr>
      <t xml:space="preserve">  Health and human Services:</t>
    </r>
  </si>
  <si>
    <t>130-57510</t>
  </si>
  <si>
    <r>
      <t xml:space="preserve">  </t>
    </r>
    <r>
      <rPr>
        <b/>
        <sz val="12"/>
        <rFont val="Arial"/>
        <family val="2"/>
      </rPr>
      <t xml:space="preserve">  Culture, recreation and education:</t>
    </r>
  </si>
  <si>
    <t>130-57610</t>
  </si>
  <si>
    <t>130-57620</t>
  </si>
  <si>
    <t>130-57630</t>
  </si>
  <si>
    <r>
      <t xml:space="preserve">  </t>
    </r>
    <r>
      <rPr>
        <b/>
        <sz val="12"/>
        <rFont val="Arial"/>
        <family val="2"/>
      </rPr>
      <t xml:space="preserve">  Conservation and development:</t>
    </r>
  </si>
  <si>
    <t>130-57710</t>
  </si>
  <si>
    <t>130-57721</t>
  </si>
  <si>
    <t>130-57725</t>
  </si>
  <si>
    <t>130-57730</t>
  </si>
  <si>
    <t>131-57000</t>
  </si>
  <si>
    <t xml:space="preserve">     This file contains page 10 of the State Financial Report Form C.  This includes line 132-58100 through 136-50000.</t>
  </si>
  <si>
    <t>DEBT SERVICE</t>
  </si>
  <si>
    <t>132-58100</t>
  </si>
  <si>
    <r>
      <t xml:space="preserve">  </t>
    </r>
    <r>
      <rPr>
        <b/>
        <sz val="12"/>
        <rFont val="Arial"/>
        <family val="2"/>
      </rPr>
      <t xml:space="preserve">  Debt service--interest and fiscal charges:</t>
    </r>
  </si>
  <si>
    <t>132-58211</t>
  </si>
  <si>
    <t>132-58212</t>
  </si>
  <si>
    <t>132-58213</t>
  </si>
  <si>
    <t>132-58221</t>
  </si>
  <si>
    <t>132-58222</t>
  </si>
  <si>
    <t>132-58227</t>
  </si>
  <si>
    <t>132-58230</t>
  </si>
  <si>
    <t>132-58290</t>
  </si>
  <si>
    <t>133-58000</t>
  </si>
  <si>
    <t>OTHER FINANCING USES</t>
  </si>
  <si>
    <t xml:space="preserve">                   </t>
  </si>
  <si>
    <t>134-59200</t>
  </si>
  <si>
    <t>134-59500</t>
  </si>
  <si>
    <t xml:space="preserve">    Funds applied to reduce levies of other taxing jurisdictions(From</t>
  </si>
  <si>
    <t>134-59800</t>
  </si>
  <si>
    <t xml:space="preserve">    Other financing uses (List items and amounts)</t>
  </si>
  <si>
    <t>134-59900</t>
  </si>
  <si>
    <t>135-59000</t>
  </si>
  <si>
    <t>TOTAL EXPENDITURES AND OTHER FINANCING USES</t>
  </si>
  <si>
    <t>136-50000</t>
  </si>
  <si>
    <t xml:space="preserve">     This file contains page 11 of the State Financial Report Form C.  This includes line 140-11000 through 153-90000.</t>
  </si>
  <si>
    <t>FINANCIAL REPORT RECONCILIATION</t>
  </si>
  <si>
    <t>ALL GOVERNMENTAL FUND TYPES and EXPENDABLE TRUST FUNDS</t>
  </si>
  <si>
    <t>CASH BASIS</t>
  </si>
  <si>
    <t>140-11000</t>
  </si>
  <si>
    <t>140-21200</t>
  </si>
  <si>
    <t xml:space="preserve">    Revenues and other financing sources: Governmental Fund Types</t>
  </si>
  <si>
    <t>140-40000</t>
  </si>
  <si>
    <t xml:space="preserve">    Other revenue/rounding adj.</t>
  </si>
  <si>
    <t>140-49000</t>
  </si>
  <si>
    <t xml:space="preserve">    Advance tax collections held at end of year (December 31, 2002)</t>
  </si>
  <si>
    <t>141-26100</t>
  </si>
  <si>
    <t>142-21500</t>
  </si>
  <si>
    <t>143-90000</t>
  </si>
  <si>
    <t>150-11000</t>
  </si>
  <si>
    <t>150-21200</t>
  </si>
  <si>
    <t xml:space="preserve">    Expenditures and other financing uses: Governmental Fund Types</t>
  </si>
  <si>
    <t>150-50000</t>
  </si>
  <si>
    <t xml:space="preserve">    Other expenditures/rounding adj.</t>
  </si>
  <si>
    <t>150-59000</t>
  </si>
  <si>
    <t xml:space="preserve">    Advance tax collections held at beginning of year (December 31, 2001)</t>
  </si>
  <si>
    <t>151-26100</t>
  </si>
  <si>
    <t xml:space="preserve">    Payroll deductions payable at beginning of year </t>
  </si>
  <si>
    <t>152-21500</t>
  </si>
  <si>
    <t>153-90000</t>
  </si>
  <si>
    <t>(COMPLETE TOP OR BOTTOM OF PAGE-NOT BOTH)</t>
  </si>
  <si>
    <t>STATEMENT OF CHANGE IN FUND BALANCE</t>
  </si>
  <si>
    <t>MODIFIED ACCRUAL BASIS</t>
  </si>
  <si>
    <t>140-34000</t>
  </si>
  <si>
    <t>140-85000</t>
  </si>
  <si>
    <t>151-34000</t>
  </si>
  <si>
    <t>Recycling</t>
  </si>
  <si>
    <t>County Park Fund</t>
  </si>
  <si>
    <t>Road fees</t>
  </si>
  <si>
    <t>Utility permits</t>
  </si>
  <si>
    <t>Overpayment of taxes</t>
  </si>
  <si>
    <t>Insurance premium rebate</t>
  </si>
  <si>
    <t>(uncontrollable CIT PP tax)</t>
  </si>
  <si>
    <t>(utility permit expenses)</t>
  </si>
  <si>
    <t>Description</t>
  </si>
  <si>
    <t>Seq/Acct</t>
  </si>
  <si>
    <t>Amount</t>
  </si>
  <si>
    <t>Number</t>
  </si>
  <si>
    <t>(Whole dollars)</t>
  </si>
  <si>
    <t xml:space="preserve"> </t>
  </si>
  <si>
    <t>REVENUES</t>
  </si>
  <si>
    <t>TAXES</t>
  </si>
  <si>
    <t xml:space="preserve">   Property</t>
  </si>
  <si>
    <t xml:space="preserve"> 100-41110</t>
  </si>
  <si>
    <t xml:space="preserve"> 100-41130</t>
  </si>
  <si>
    <t xml:space="preserve">       Mobile home lottery credit &amp; parking fees (Total Received)</t>
  </si>
  <si>
    <t xml:space="preserve">                  Subtract payments to schools</t>
  </si>
  <si>
    <t xml:space="preserve"> 100-41140</t>
  </si>
  <si>
    <t xml:space="preserve"> 100-41150</t>
  </si>
  <si>
    <t xml:space="preserve"> 100-41170</t>
  </si>
  <si>
    <t xml:space="preserve">   Sales and Use:</t>
  </si>
  <si>
    <t xml:space="preserve"> 100-41210</t>
  </si>
  <si>
    <t xml:space="preserve">       General Sales tax collections (Total collections)</t>
  </si>
  <si>
    <t xml:space="preserve">                  Paid to state (Subtract)</t>
  </si>
  <si>
    <t xml:space="preserve"> 100-41222</t>
  </si>
  <si>
    <t xml:space="preserve"> 100-41223</t>
  </si>
  <si>
    <t xml:space="preserve"> 100-41240</t>
  </si>
  <si>
    <t xml:space="preserve">   Payments in lieu of taxes:</t>
  </si>
  <si>
    <t xml:space="preserve"> 100-41310</t>
  </si>
  <si>
    <t xml:space="preserve"> 100-41320</t>
  </si>
  <si>
    <t xml:space="preserve"> 100-41800</t>
  </si>
  <si>
    <t xml:space="preserve">   Other taxes:</t>
  </si>
  <si>
    <t>(Identify) A</t>
  </si>
  <si>
    <t xml:space="preserve"> 100-41900</t>
  </si>
  <si>
    <t xml:space="preserve"> 101-41000</t>
  </si>
  <si>
    <t>SPECIAL ASSESSMENTS</t>
  </si>
  <si>
    <t xml:space="preserve"> 102-42000</t>
  </si>
  <si>
    <t xml:space="preserve">    (Include interest on special assessments at line 113-48130)</t>
  </si>
  <si>
    <t>INTERGOVERNMENTAL REVENUES</t>
  </si>
  <si>
    <t xml:space="preserve">  Federal Grants:</t>
  </si>
  <si>
    <t xml:space="preserve"> 103-43211</t>
  </si>
  <si>
    <t xml:space="preserve"> 103-43212</t>
  </si>
  <si>
    <t xml:space="preserve"> 103-43213</t>
  </si>
  <si>
    <t xml:space="preserve"> 103-43219</t>
  </si>
  <si>
    <t xml:space="preserve"> 103-43221</t>
  </si>
  <si>
    <t xml:space="preserve"> 103-43227</t>
  </si>
  <si>
    <t xml:space="preserve"> 103-43231</t>
  </si>
  <si>
    <t xml:space="preserve"> 103-43239</t>
  </si>
  <si>
    <t xml:space="preserve"> 103-43271</t>
  </si>
  <si>
    <t xml:space="preserve">       Other federal payments</t>
  </si>
  <si>
    <t xml:space="preserve">           Include Federal Fish and Wildlife Payments: Payments received</t>
  </si>
  <si>
    <t xml:space="preserve">                                                                                            Less distributions</t>
  </si>
  <si>
    <t xml:space="preserve"> 103-43300</t>
  </si>
  <si>
    <t xml:space="preserve">  State shared taxes:</t>
  </si>
  <si>
    <t xml:space="preserve"> 103-43410</t>
  </si>
  <si>
    <t xml:space="preserve"> 103-43420</t>
  </si>
  <si>
    <t xml:space="preserve"> 103-43430</t>
  </si>
  <si>
    <t xml:space="preserve">  State grants:</t>
  </si>
  <si>
    <t xml:space="preserve">       Public safety: </t>
  </si>
  <si>
    <t xml:space="preserve"> 103-43521</t>
  </si>
  <si>
    <t xml:space="preserve"> 103-43522</t>
  </si>
  <si>
    <t xml:space="preserve"> 103-43523</t>
  </si>
  <si>
    <t xml:space="preserve"> 103-43528</t>
  </si>
  <si>
    <t xml:space="preserve"> 103-43529</t>
  </si>
  <si>
    <t>INTERGOVERNMENTAL REVENUES (continued)</t>
  </si>
  <si>
    <t xml:space="preserve">    Transportation:</t>
  </si>
  <si>
    <t xml:space="preserve"> 103-43531</t>
  </si>
  <si>
    <t xml:space="preserve"> 103-43532</t>
  </si>
  <si>
    <t xml:space="preserve"> 103-43533</t>
  </si>
  <si>
    <t xml:space="preserve"> 103-43534</t>
  </si>
  <si>
    <t xml:space="preserve"> 103-43537</t>
  </si>
  <si>
    <t xml:space="preserve"> 103-43545</t>
  </si>
  <si>
    <t xml:space="preserve"> 103-43549</t>
  </si>
  <si>
    <t xml:space="preserve"> 103-43581</t>
  </si>
  <si>
    <t xml:space="preserve"> Other state payments:</t>
  </si>
  <si>
    <t xml:space="preserve"> 103-43610</t>
  </si>
  <si>
    <t xml:space="preserve"> 103-43620</t>
  </si>
  <si>
    <t xml:space="preserve"> 103-43630</t>
  </si>
  <si>
    <t xml:space="preserve">       Severance/yield/withdrawal taxes (Total amount received)</t>
  </si>
  <si>
    <t xml:space="preserve">                 20% paid to county (Subtract)</t>
  </si>
  <si>
    <t xml:space="preserve"> 103-43640</t>
  </si>
  <si>
    <t xml:space="preserve">       Forest cropland/managed forest land (Total amount received)</t>
  </si>
  <si>
    <t xml:space="preserve">           </t>
  </si>
  <si>
    <t xml:space="preserve">                 Paid to county (Subtract)</t>
  </si>
  <si>
    <t xml:space="preserve"> 103-43650</t>
  </si>
  <si>
    <t xml:space="preserve">       Payment in lieu of taxes on state conservation lands (s70.114 January PILT)</t>
  </si>
  <si>
    <t xml:space="preserve">                 Total amount received</t>
  </si>
  <si>
    <t xml:space="preserve">                 Paid to other governments (Subtract)</t>
  </si>
  <si>
    <t xml:space="preserve"> 103-43660</t>
  </si>
  <si>
    <t xml:space="preserve">       Other state payments (List items and amounts)</t>
  </si>
  <si>
    <t xml:space="preserve"> 103-43690</t>
  </si>
  <si>
    <t xml:space="preserve"> Grants from local governments:</t>
  </si>
  <si>
    <t xml:space="preserve"> 103-43710</t>
  </si>
  <si>
    <t xml:space="preserve"> 103-43781</t>
  </si>
  <si>
    <t xml:space="preserve"> 103-43782</t>
  </si>
  <si>
    <t xml:space="preserve">       Other local government grants (List items and amounts)</t>
  </si>
  <si>
    <t xml:space="preserve"> 103-43790</t>
  </si>
  <si>
    <t xml:space="preserve"> 104-43000</t>
  </si>
  <si>
    <t>LICENSES AND PERMITS</t>
  </si>
  <si>
    <t xml:space="preserve"> 105-44100</t>
  </si>
  <si>
    <t xml:space="preserve"> 105-44200</t>
  </si>
  <si>
    <t xml:space="preserve"> 105-44300</t>
  </si>
  <si>
    <t xml:space="preserve"> 105-44400</t>
  </si>
  <si>
    <t xml:space="preserve">       Other regulatory permits and fees (List items and amounts)</t>
  </si>
  <si>
    <t xml:space="preserve"> 105-44900</t>
  </si>
  <si>
    <t xml:space="preserve"> 106-44000</t>
  </si>
  <si>
    <t>FINES, FORFEITS AND PENALTIES</t>
  </si>
  <si>
    <t xml:space="preserve"> 107-45100</t>
  </si>
  <si>
    <t xml:space="preserve"> 107-45210</t>
  </si>
  <si>
    <t xml:space="preserve">       Judgments and damages:</t>
  </si>
  <si>
    <t xml:space="preserve">         Judgments and damage awards for law enforcement equipment and</t>
  </si>
  <si>
    <t xml:space="preserve"> 107-45221</t>
  </si>
  <si>
    <t xml:space="preserve"> 107-45222</t>
  </si>
  <si>
    <t xml:space="preserve"> 107-45223</t>
  </si>
  <si>
    <t xml:space="preserve"> 108-45000</t>
  </si>
  <si>
    <t xml:space="preserve">     This file contains page 3 of the State Financial Report Form C.  This includes line 103-43531 through 108-45000.</t>
  </si>
  <si>
    <t>MUNICIPALITIES HAVING A POPULATION OF LESS THAN 25,000</t>
  </si>
  <si>
    <t>ALL GOVERNMENTAL FUND TYPES AND EXPENDABLE TRUST FUNDS</t>
  </si>
  <si>
    <t>TAX ROLL RECONCILIATION</t>
  </si>
  <si>
    <t>CASH BASIS ACCOUNTING</t>
  </si>
  <si>
    <t>(whole dollars)</t>
  </si>
  <si>
    <t xml:space="preserve"> Part A-Tax Collections, Credits and Settlements:</t>
  </si>
  <si>
    <t>002-40000</t>
  </si>
  <si>
    <t>004-40000</t>
  </si>
  <si>
    <t>005-40000</t>
  </si>
  <si>
    <t>006-40000</t>
  </si>
  <si>
    <t>008-40000</t>
  </si>
  <si>
    <t>010-40000</t>
  </si>
  <si>
    <t>018-40000</t>
  </si>
  <si>
    <t xml:space="preserve">        Total Tax Collections, Credits &amp; Settlements</t>
  </si>
  <si>
    <t>020-40000</t>
  </si>
  <si>
    <t xml:space="preserve"> Part B-Tax Coll., Lottery &amp; Tax Credits, &amp; Settlements Paid To Others:</t>
  </si>
  <si>
    <t>022-50000</t>
  </si>
  <si>
    <t>025-50000</t>
  </si>
  <si>
    <t>028-50000</t>
  </si>
  <si>
    <t>030-50000</t>
  </si>
  <si>
    <t>032-50000</t>
  </si>
  <si>
    <t>035-50000</t>
  </si>
  <si>
    <t xml:space="preserve">        Total Tax Collections, Credits &amp; Settlements Paid to Others</t>
  </si>
  <si>
    <t>040-50000</t>
  </si>
  <si>
    <t xml:space="preserve"> Part C-Tax Collections, Credits and Settlements Retained:</t>
  </si>
  <si>
    <t>046-41130</t>
  </si>
  <si>
    <t>048-41150</t>
  </si>
  <si>
    <t xml:space="preserve">     Interest and penalties on delinquent property tax collections</t>
  </si>
  <si>
    <t>052-41800</t>
  </si>
  <si>
    <t>054-42000</t>
  </si>
  <si>
    <t>055-44200</t>
  </si>
  <si>
    <t>056-48130</t>
  </si>
  <si>
    <t>058-46000</t>
  </si>
  <si>
    <t>059-40000</t>
  </si>
  <si>
    <t xml:space="preserve"> Part D-Local Share of Property Taxes:</t>
  </si>
  <si>
    <t xml:space="preserve">     (Subtract line 059-40000 from line 020-40000 above.)</t>
  </si>
  <si>
    <t>060-40000</t>
  </si>
  <si>
    <t>062-40000</t>
  </si>
  <si>
    <t>064-40000</t>
  </si>
  <si>
    <t>066-40000</t>
  </si>
  <si>
    <t xml:space="preserve">     (Sum of lines 060-40000 or 062-40000, and 064-40000 and 066-40000)</t>
  </si>
  <si>
    <t xml:space="preserve">     If the sum of these lines is greater than zero, enter here and at </t>
  </si>
  <si>
    <t>068-41110</t>
  </si>
  <si>
    <t xml:space="preserve">     If the sum of these lines is less than zero, enter here and at</t>
  </si>
  <si>
    <t>070-59800</t>
  </si>
  <si>
    <t xml:space="preserve"> (*) Distribute to Expenditure Activities (See county tax apportionment)</t>
  </si>
  <si>
    <t xml:space="preserve">     This file contains page 1 of the State Financial Report Form C.     This includes line 002-40000 through 070-59800.</t>
  </si>
  <si>
    <t xml:space="preserve">     August settlement from County plus other county settlements </t>
  </si>
  <si>
    <t xml:space="preserve">     This file contains page 2 of the State Financial Report Form C.  This includes lines 002-40000 to 070-59800.</t>
  </si>
  <si>
    <t>Delinquent PP-CIT</t>
  </si>
  <si>
    <t xml:space="preserve">     This file contains page 4 of the State Financial Report Form C.  This includes line 109-46100 through 110-46000</t>
  </si>
  <si>
    <t>PUBLIC CHARGES FOR SERVICES</t>
  </si>
  <si>
    <t xml:space="preserve"> 109-46100</t>
  </si>
  <si>
    <t xml:space="preserve">     Public safety:</t>
  </si>
  <si>
    <t xml:space="preserve">              </t>
  </si>
  <si>
    <t xml:space="preserve"> 109-46210</t>
  </si>
  <si>
    <t xml:space="preserve"> 109-46220</t>
  </si>
  <si>
    <t xml:space="preserve"> 109-46230</t>
  </si>
  <si>
    <t xml:space="preserve"> 109-46290</t>
  </si>
  <si>
    <t xml:space="preserve">     Transportation:</t>
  </si>
  <si>
    <t xml:space="preserve">            Highway and street maintenance and construction (Inc. grading,</t>
  </si>
  <si>
    <t xml:space="preserve"> 109-46310</t>
  </si>
  <si>
    <t xml:space="preserve"> 109-46321</t>
  </si>
  <si>
    <t xml:space="preserve"> 109-46322</t>
  </si>
  <si>
    <t xml:space="preserve"> 109-46323</t>
  </si>
  <si>
    <t xml:space="preserve"> 109-46324</t>
  </si>
  <si>
    <t xml:space="preserve"> 109-46330</t>
  </si>
  <si>
    <t xml:space="preserve"> 109-46340</t>
  </si>
  <si>
    <t xml:space="preserve"> 109-46350</t>
  </si>
  <si>
    <t xml:space="preserve"> 109-46370</t>
  </si>
  <si>
    <t xml:space="preserve"> 109-46399</t>
  </si>
  <si>
    <t xml:space="preserve">     Sanitation and utilities:</t>
  </si>
  <si>
    <t xml:space="preserve"> 109-46410</t>
  </si>
  <si>
    <t xml:space="preserve"> 109-46420</t>
  </si>
  <si>
    <t xml:space="preserve"> 109-46431</t>
  </si>
  <si>
    <t xml:space="preserve"> 109-46435</t>
  </si>
  <si>
    <t xml:space="preserve"> 109-46440</t>
  </si>
  <si>
    <t xml:space="preserve"> 109-46490</t>
  </si>
  <si>
    <t xml:space="preserve">     Health:</t>
  </si>
  <si>
    <t xml:space="preserve"> 109-46540</t>
  </si>
  <si>
    <t xml:space="preserve"> 109-46590</t>
  </si>
  <si>
    <t xml:space="preserve"> 109-46600</t>
  </si>
  <si>
    <t xml:space="preserve">     Culture, recreation and education:</t>
  </si>
  <si>
    <t xml:space="preserve"> 109-46710</t>
  </si>
  <si>
    <t xml:space="preserve"> 109-46720</t>
  </si>
  <si>
    <t xml:space="preserve"> 109-46731</t>
  </si>
  <si>
    <t xml:space="preserve"> 109-46732</t>
  </si>
  <si>
    <t xml:space="preserve"> 109-46741</t>
  </si>
  <si>
    <t xml:space="preserve"> 109-46742</t>
  </si>
  <si>
    <t xml:space="preserve"> 109-46743</t>
  </si>
  <si>
    <t xml:space="preserve"> 109-46750</t>
  </si>
  <si>
    <t xml:space="preserve">    Conservation and development:</t>
  </si>
  <si>
    <t xml:space="preserve"> 109-46810</t>
  </si>
  <si>
    <t xml:space="preserve"> 109-46820</t>
  </si>
  <si>
    <t xml:space="preserve"> 109-46830</t>
  </si>
  <si>
    <t xml:space="preserve"> 109-46840</t>
  </si>
  <si>
    <t xml:space="preserve"> 109-46850</t>
  </si>
  <si>
    <t xml:space="preserve">            Other public charges for services (List items and amounts)</t>
  </si>
  <si>
    <t xml:space="preserve"> 109-46900</t>
  </si>
  <si>
    <t xml:space="preserve"> 110-46000</t>
  </si>
  <si>
    <t xml:space="preserve">     This file contains page 5 of the State Financial Report Form C.  This includes line 111-47121 through 112-47000.</t>
  </si>
  <si>
    <t>INTERGOVERNMENTAL CHARGES FOR SERVICES</t>
  </si>
  <si>
    <t xml:space="preserve">   Federal:</t>
  </si>
  <si>
    <t xml:space="preserve">          Public safety:</t>
  </si>
  <si>
    <t xml:space="preserve"> 111-47121</t>
  </si>
  <si>
    <t xml:space="preserve"> 111-47122</t>
  </si>
  <si>
    <t xml:space="preserve"> 111-47131</t>
  </si>
  <si>
    <t xml:space="preserve"> 111-47141</t>
  </si>
  <si>
    <t xml:space="preserve"> 111-47181</t>
  </si>
  <si>
    <t xml:space="preserve"> 111-47190</t>
  </si>
  <si>
    <t xml:space="preserve"> State:</t>
  </si>
  <si>
    <t xml:space="preserve">       Public safety:</t>
  </si>
  <si>
    <t xml:space="preserve"> 111-47221</t>
  </si>
  <si>
    <t xml:space="preserve"> 111-47222</t>
  </si>
  <si>
    <t xml:space="preserve"> 111-47230</t>
  </si>
  <si>
    <t xml:space="preserve"> 111-47241</t>
  </si>
  <si>
    <t xml:space="preserve"> 111-47281</t>
  </si>
  <si>
    <t xml:space="preserve"> 111-47290</t>
  </si>
  <si>
    <t>Other local governments:</t>
  </si>
  <si>
    <t xml:space="preserve"> 111-47310</t>
  </si>
  <si>
    <t xml:space="preserve"> 111-47321</t>
  </si>
  <si>
    <t xml:space="preserve"> 111-47323</t>
  </si>
  <si>
    <t xml:space="preserve"> 111-47324</t>
  </si>
  <si>
    <t xml:space="preserve"> 111-47325</t>
  </si>
  <si>
    <t xml:space="preserve"> 111-47326</t>
  </si>
  <si>
    <t xml:space="preserve"> 111-47331</t>
  </si>
  <si>
    <t xml:space="preserve"> 111-47339</t>
  </si>
  <si>
    <t xml:space="preserve">          Sanitation:</t>
  </si>
  <si>
    <t xml:space="preserve"> 111-47341</t>
  </si>
  <si>
    <t xml:space="preserve"> 111-47342</t>
  </si>
  <si>
    <t xml:space="preserve"> 111-47343</t>
  </si>
  <si>
    <t xml:space="preserve"> 111-47345</t>
  </si>
  <si>
    <t xml:space="preserve"> 111-47381</t>
  </si>
  <si>
    <t xml:space="preserve"> 111-47390</t>
  </si>
  <si>
    <t xml:space="preserve"> 111-47400</t>
  </si>
  <si>
    <t xml:space="preserve"> 112-47000</t>
  </si>
  <si>
    <t xml:space="preserve">     This file contains page 6 of the State Financial Report Form C.  This includes line 113-48110 through 117-40000.</t>
  </si>
  <si>
    <t>MISCELLANEOUS REVENUES</t>
  </si>
  <si>
    <t xml:space="preserve">    Interest:</t>
  </si>
  <si>
    <t xml:space="preserve"> 113-48110</t>
  </si>
  <si>
    <t xml:space="preserve">           Interest on special assessments and special charges(Inc. line</t>
  </si>
  <si>
    <t xml:space="preserve"> 113-48130</t>
  </si>
  <si>
    <t xml:space="preserve"> 113-48200</t>
  </si>
  <si>
    <t xml:space="preserve">    Property sales:</t>
  </si>
  <si>
    <t xml:space="preserve"> 113-48301</t>
  </si>
  <si>
    <t xml:space="preserve"> 113-48302</t>
  </si>
  <si>
    <t xml:space="preserve"> 113-48303</t>
  </si>
  <si>
    <t xml:space="preserve"> 113-48304</t>
  </si>
  <si>
    <t xml:space="preserve"> 113-48305</t>
  </si>
  <si>
    <t xml:space="preserve"> 113-48306</t>
  </si>
  <si>
    <t xml:space="preserve"> 113-48307</t>
  </si>
  <si>
    <t xml:space="preserve"> 113-48309</t>
  </si>
  <si>
    <t xml:space="preserve">    Insurance recoveries:</t>
  </si>
  <si>
    <t xml:space="preserve">           Insurance recoveries for damage to law enforcement equipment</t>
  </si>
  <si>
    <t xml:space="preserve"> 113-48420</t>
  </si>
  <si>
    <t xml:space="preserve"> 113-48430</t>
  </si>
  <si>
    <t xml:space="preserve"> 113-48440</t>
  </si>
  <si>
    <t xml:space="preserve"> 113-48500</t>
  </si>
  <si>
    <t xml:space="preserve">    Other miscellaneous revenues (List items and amount for each)</t>
  </si>
  <si>
    <t xml:space="preserve"> 113-48900</t>
  </si>
  <si>
    <t xml:space="preserve"> 114-48000</t>
  </si>
  <si>
    <t>OTHER FINANCING SOURCES</t>
  </si>
  <si>
    <t xml:space="preserve"> 115-49100</t>
  </si>
  <si>
    <t xml:space="preserve"> 115-49200</t>
  </si>
  <si>
    <t xml:space="preserve"> 115-49400</t>
  </si>
  <si>
    <t xml:space="preserve"> 115-49500</t>
  </si>
  <si>
    <t xml:space="preserve"> 116-49000</t>
  </si>
  <si>
    <t>TOTAL REVENUES AND OTHER FINANCING SOURCES</t>
  </si>
  <si>
    <t xml:space="preserve"> 117-40000</t>
  </si>
  <si>
    <t xml:space="preserve">     This file contains page 7 of the State Financial Report Form C.  This includes line 118-51100 through 122-53450.</t>
  </si>
  <si>
    <t>EXPENDITURES</t>
  </si>
  <si>
    <t>GENERAL GOVERNMENT</t>
  </si>
  <si>
    <t>118-51100</t>
  </si>
  <si>
    <t>118-51200</t>
  </si>
  <si>
    <t>118-51300</t>
  </si>
  <si>
    <t>118-51400</t>
  </si>
  <si>
    <t>118-51500</t>
  </si>
  <si>
    <t>118-51600</t>
  </si>
  <si>
    <t xml:space="preserve">    Other general government:</t>
  </si>
  <si>
    <t>118-51910</t>
  </si>
  <si>
    <t>118-51920</t>
  </si>
  <si>
    <t>118-51931</t>
  </si>
  <si>
    <t>118-51932</t>
  </si>
  <si>
    <t>118-51938</t>
  </si>
  <si>
    <t xml:space="preserve">           Other general government (List items and amounts)</t>
  </si>
  <si>
    <t>118-51980</t>
  </si>
  <si>
    <t>119-51000</t>
  </si>
  <si>
    <t>PUBLIC SAFETY</t>
  </si>
  <si>
    <t>120-52100</t>
  </si>
  <si>
    <t>120-52200</t>
  </si>
  <si>
    <t>120-52300</t>
  </si>
  <si>
    <t>120-52400</t>
  </si>
  <si>
    <t>120-52601</t>
  </si>
  <si>
    <t>120-52609</t>
  </si>
  <si>
    <t>120-52700</t>
  </si>
  <si>
    <t>120-52900</t>
  </si>
  <si>
    <t xml:space="preserve">  </t>
  </si>
  <si>
    <t>121-52000</t>
  </si>
  <si>
    <t>PUBLIC WORKS</t>
  </si>
  <si>
    <t>TRANSPORTATION</t>
  </si>
  <si>
    <t>122-53100</t>
  </si>
  <si>
    <t xml:space="preserve">    Highway and street maintenance and construction:</t>
  </si>
  <si>
    <t>122-53311</t>
  </si>
  <si>
    <t>122-53315</t>
  </si>
  <si>
    <t>122-53320</t>
  </si>
  <si>
    <t>122-53330</t>
  </si>
  <si>
    <t xml:space="preserve">    Road related facilities:</t>
  </si>
  <si>
    <t>122-53410</t>
  </si>
  <si>
    <t>122-53420</t>
  </si>
  <si>
    <t>122-53431</t>
  </si>
  <si>
    <t>122-53432</t>
  </si>
  <si>
    <t>122-53441</t>
  </si>
  <si>
    <t>122-53442</t>
  </si>
  <si>
    <t>122-53450</t>
  </si>
  <si>
    <t xml:space="preserve">     This file contains page 8 of the State Financial Report Form C.  This includes line 122-53510 through 129-56000.</t>
  </si>
  <si>
    <t>PUBLIC WORKS (continued)</t>
  </si>
  <si>
    <t xml:space="preserve">    Other transportation:</t>
  </si>
  <si>
    <t>122-53510</t>
  </si>
  <si>
    <t>122-53520</t>
  </si>
  <si>
    <t>122-53540</t>
  </si>
  <si>
    <t xml:space="preserve">           Other transportation facilities</t>
  </si>
  <si>
    <t>122-53580</t>
  </si>
  <si>
    <t>SANITATION</t>
  </si>
  <si>
    <t xml:space="preserve">         </t>
  </si>
  <si>
    <t>122-53610</t>
  </si>
  <si>
    <t>122-53620</t>
  </si>
  <si>
    <t>122-53631</t>
  </si>
  <si>
    <t>122-53635</t>
  </si>
  <si>
    <t>122-53640</t>
  </si>
  <si>
    <t xml:space="preserve">           Other Sanitation</t>
  </si>
  <si>
    <t>122-53680</t>
  </si>
  <si>
    <t>123-53000</t>
  </si>
  <si>
    <t>HEALTH AND HUMAN SERVICES</t>
  </si>
  <si>
    <t>124-54100</t>
  </si>
  <si>
    <t>124-54420</t>
  </si>
  <si>
    <t>124-54600</t>
  </si>
  <si>
    <t>124-54910</t>
  </si>
  <si>
    <t>124-54980</t>
  </si>
  <si>
    <t>125-54000</t>
  </si>
  <si>
    <t>CULTURE, RECREATION AND EDUCATION</t>
  </si>
  <si>
    <t xml:space="preserve">    Culture:</t>
  </si>
  <si>
    <t>126-55110</t>
  </si>
  <si>
    <t>126-55120</t>
  </si>
  <si>
    <t>126-55190</t>
  </si>
  <si>
    <t>126-55200</t>
  </si>
  <si>
    <t>126-55300</t>
  </si>
  <si>
    <t>126-55400</t>
  </si>
  <si>
    <t>126-55410</t>
  </si>
  <si>
    <t>127-55000</t>
  </si>
  <si>
    <t>CONSERVATION AND DEVELOPMENT</t>
  </si>
  <si>
    <t>128-56500</t>
  </si>
  <si>
    <t>128-56600</t>
  </si>
  <si>
    <t>128-56700</t>
  </si>
  <si>
    <t>128-56900</t>
  </si>
  <si>
    <t>129-56000</t>
  </si>
  <si>
    <t xml:space="preserve">     This file contains page 9 of the State Financial Report Form C.  This includes line 130-57140 through 131-57000.</t>
  </si>
  <si>
    <t>CAPITAL OUTLAY</t>
  </si>
  <si>
    <t xml:space="preserve">    General government</t>
  </si>
  <si>
    <t>130-57140</t>
  </si>
  <si>
    <t>130-57190</t>
  </si>
  <si>
    <t xml:space="preserve">    Public safety:</t>
  </si>
  <si>
    <t>130-57210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</si>
</sst>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0-&quot;_);_(@_)"/>
    <numFmt numFmtId="165" formatCode="_(* #,##0_);_(* \(#,##0\);_(* &quot; &quot;_);_(@_)"/>
    <numFmt numFmtId="166" formatCode="_(* #,##0_);_(* \(#,##0\);_(* &quot;-&quot;??_);_(@_)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</numFmts>
  <fonts count="11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0"/>
    </font>
    <font>
      <b/>
      <sz val="12"/>
      <color indexed="10"/>
      <name val="Arial"/>
      <family val="2"/>
    </font>
    <font>
      <i/>
      <sz val="12"/>
      <name val="Arial"/>
      <family val="2"/>
    </font>
    <font>
      <u val="single"/>
      <sz val="10"/>
      <color indexed="12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1" fillId="0" borderId="1" xfId="0" applyFont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 horizontal="centerContinuous"/>
      <protection/>
    </xf>
    <xf numFmtId="0" fontId="1" fillId="0" borderId="3" xfId="0" applyFont="1" applyBorder="1" applyAlignment="1" applyProtection="1">
      <alignment horizontal="centerContinuous"/>
      <protection/>
    </xf>
    <xf numFmtId="0" fontId="2" fillId="0" borderId="4" xfId="0" applyFont="1" applyBorder="1" applyAlignment="1" applyProtection="1">
      <alignment/>
      <protection/>
    </xf>
    <xf numFmtId="0" fontId="2" fillId="0" borderId="2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" fillId="0" borderId="2" xfId="0" applyFont="1" applyBorder="1" applyAlignment="1" applyProtection="1">
      <alignment/>
      <protection/>
    </xf>
    <xf numFmtId="0" fontId="2" fillId="0" borderId="5" xfId="0" applyFont="1" applyBorder="1" applyAlignment="1" applyProtection="1">
      <alignment horizontal="center"/>
      <protection/>
    </xf>
    <xf numFmtId="0" fontId="2" fillId="0" borderId="6" xfId="0" applyFont="1" applyBorder="1" applyAlignment="1" applyProtection="1">
      <alignment horizontal="center"/>
      <protection/>
    </xf>
    <xf numFmtId="0" fontId="1" fillId="0" borderId="7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0" fontId="1" fillId="0" borderId="8" xfId="0" applyFont="1" applyBorder="1" applyAlignment="1" applyProtection="1">
      <alignment/>
      <protection/>
    </xf>
    <xf numFmtId="0" fontId="1" fillId="0" borderId="9" xfId="0" applyFont="1" applyBorder="1" applyAlignment="1" applyProtection="1">
      <alignment horizontal="center"/>
      <protection/>
    </xf>
    <xf numFmtId="0" fontId="2" fillId="0" borderId="1" xfId="0" applyFont="1" applyBorder="1" applyAlignment="1" applyProtection="1">
      <alignment/>
      <protection/>
    </xf>
    <xf numFmtId="0" fontId="2" fillId="0" borderId="8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9" xfId="0" applyFont="1" applyBorder="1" applyAlignment="1" applyProtection="1">
      <alignment horizontal="center"/>
      <protection/>
    </xf>
    <xf numFmtId="165" fontId="1" fillId="0" borderId="11" xfId="15" applyNumberFormat="1" applyFont="1" applyFill="1" applyBorder="1" applyAlignment="1" applyProtection="1">
      <alignment/>
      <protection/>
    </xf>
    <xf numFmtId="0" fontId="2" fillId="0" borderId="2" xfId="0" applyFont="1" applyBorder="1" applyAlignment="1" applyProtection="1">
      <alignment horizontal="right"/>
      <protection/>
    </xf>
    <xf numFmtId="0" fontId="2" fillId="0" borderId="0" xfId="0" applyFont="1" applyAlignment="1" applyProtection="1" quotePrefix="1">
      <alignment horizontal="left"/>
      <protection/>
    </xf>
    <xf numFmtId="0" fontId="1" fillId="0" borderId="1" xfId="0" applyFont="1" applyBorder="1" applyAlignment="1" applyProtection="1">
      <alignment horizontal="centerContinuous"/>
      <protection/>
    </xf>
    <xf numFmtId="0" fontId="1" fillId="0" borderId="12" xfId="0" applyFont="1" applyBorder="1" applyAlignment="1" applyProtection="1">
      <alignment horizontal="centerContinuous"/>
      <protection/>
    </xf>
    <xf numFmtId="0" fontId="2" fillId="0" borderId="13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/>
      <protection/>
    </xf>
    <xf numFmtId="0" fontId="1" fillId="0" borderId="2" xfId="0" applyFont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 horizontal="center"/>
      <protection/>
    </xf>
    <xf numFmtId="165" fontId="1" fillId="0" borderId="16" xfId="0" applyNumberFormat="1" applyFont="1" applyFill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left"/>
      <protection/>
    </xf>
    <xf numFmtId="164" fontId="7" fillId="0" borderId="17" xfId="0" applyNumberFormat="1" applyFont="1" applyFill="1" applyBorder="1" applyAlignment="1" applyProtection="1">
      <alignment/>
      <protection/>
    </xf>
    <xf numFmtId="165" fontId="1" fillId="0" borderId="18" xfId="0" applyNumberFormat="1" applyFont="1" applyFill="1" applyBorder="1" applyAlignment="1" applyProtection="1">
      <alignment/>
      <protection locked="0"/>
    </xf>
    <xf numFmtId="0" fontId="2" fillId="0" borderId="0" xfId="0" applyFont="1" applyAlignment="1" applyProtection="1" quotePrefix="1">
      <alignment/>
      <protection/>
    </xf>
    <xf numFmtId="0" fontId="3" fillId="0" borderId="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right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0" fontId="1" fillId="0" borderId="19" xfId="0" applyFont="1" applyFill="1" applyBorder="1" applyAlignment="1" applyProtection="1">
      <alignment/>
      <protection/>
    </xf>
    <xf numFmtId="0" fontId="1" fillId="0" borderId="20" xfId="0" applyFont="1" applyFill="1" applyBorder="1" applyAlignment="1" applyProtection="1">
      <alignment/>
      <protection/>
    </xf>
    <xf numFmtId="0" fontId="1" fillId="0" borderId="21" xfId="0" applyFont="1" applyFill="1" applyBorder="1" applyAlignment="1" applyProtection="1">
      <alignment horizontal="center"/>
      <protection/>
    </xf>
    <xf numFmtId="0" fontId="1" fillId="0" borderId="22" xfId="0" applyFont="1" applyFill="1" applyBorder="1" applyAlignment="1" applyProtection="1">
      <alignment/>
      <protection/>
    </xf>
    <xf numFmtId="0" fontId="1" fillId="0" borderId="17" xfId="0" applyFont="1" applyFill="1" applyBorder="1" applyAlignment="1" applyProtection="1">
      <alignment horizontal="center"/>
      <protection/>
    </xf>
    <xf numFmtId="0" fontId="1" fillId="0" borderId="17" xfId="0" applyFont="1" applyFill="1" applyBorder="1" applyAlignment="1" applyProtection="1">
      <alignment/>
      <protection/>
    </xf>
    <xf numFmtId="164" fontId="1" fillId="0" borderId="17" xfId="0" applyNumberFormat="1" applyFont="1" applyFill="1" applyBorder="1" applyAlignment="1" applyProtection="1">
      <alignment/>
      <protection locked="0"/>
    </xf>
    <xf numFmtId="165" fontId="1" fillId="0" borderId="16" xfId="0" applyNumberFormat="1" applyFont="1" applyFill="1" applyBorder="1" applyAlignment="1" applyProtection="1">
      <alignment/>
      <protection locked="0"/>
    </xf>
    <xf numFmtId="165" fontId="1" fillId="0" borderId="17" xfId="0" applyNumberFormat="1" applyFont="1" applyFill="1" applyBorder="1" applyAlignment="1" applyProtection="1">
      <alignment/>
      <protection locked="0"/>
    </xf>
    <xf numFmtId="164" fontId="7" fillId="0" borderId="23" xfId="0" applyNumberFormat="1" applyFont="1" applyFill="1" applyBorder="1" applyAlignment="1" applyProtection="1">
      <alignment horizontal="right"/>
      <protection/>
    </xf>
    <xf numFmtId="164" fontId="1" fillId="0" borderId="23" xfId="0" applyNumberFormat="1" applyFont="1" applyFill="1" applyBorder="1" applyAlignment="1" applyProtection="1">
      <alignment horizontal="right"/>
      <protection/>
    </xf>
    <xf numFmtId="166" fontId="1" fillId="0" borderId="16" xfId="15" applyNumberFormat="1" applyFont="1" applyFill="1" applyBorder="1" applyAlignment="1" applyProtection="1">
      <alignment/>
      <protection locked="0"/>
    </xf>
    <xf numFmtId="0" fontId="1" fillId="0" borderId="16" xfId="0" applyFont="1" applyFill="1" applyBorder="1" applyAlignment="1" applyProtection="1">
      <alignment/>
      <protection/>
    </xf>
    <xf numFmtId="164" fontId="1" fillId="0" borderId="11" xfId="0" applyNumberFormat="1" applyFont="1" applyFill="1" applyBorder="1" applyAlignment="1" applyProtection="1">
      <alignment horizontal="right"/>
      <protection/>
    </xf>
    <xf numFmtId="0" fontId="1" fillId="0" borderId="24" xfId="0" applyFont="1" applyFill="1" applyBorder="1" applyAlignment="1" applyProtection="1">
      <alignment/>
      <protection/>
    </xf>
    <xf numFmtId="0" fontId="1" fillId="0" borderId="25" xfId="0" applyFont="1" applyFill="1" applyBorder="1" applyAlignment="1" applyProtection="1">
      <alignment/>
      <protection/>
    </xf>
    <xf numFmtId="0" fontId="1" fillId="0" borderId="12" xfId="0" applyFont="1" applyFill="1" applyBorder="1" applyAlignment="1" applyProtection="1">
      <alignment horizontal="centerContinuous"/>
      <protection/>
    </xf>
    <xf numFmtId="43" fontId="2" fillId="0" borderId="19" xfId="15" applyFont="1" applyFill="1" applyBorder="1" applyAlignment="1" applyProtection="1">
      <alignment horizontal="center"/>
      <protection/>
    </xf>
    <xf numFmtId="0" fontId="1" fillId="0" borderId="19" xfId="0" applyFont="1" applyFill="1" applyBorder="1" applyAlignment="1" applyProtection="1">
      <alignment horizontal="centerContinuous"/>
      <protection/>
    </xf>
    <xf numFmtId="43" fontId="1" fillId="0" borderId="22" xfId="15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Continuous"/>
      <protection/>
    </xf>
    <xf numFmtId="0" fontId="1" fillId="0" borderId="12" xfId="0" applyFont="1" applyFill="1" applyBorder="1" applyAlignment="1" applyProtection="1">
      <alignment horizontal="center"/>
      <protection/>
    </xf>
    <xf numFmtId="0" fontId="1" fillId="0" borderId="26" xfId="0" applyFont="1" applyFill="1" applyBorder="1" applyAlignment="1" applyProtection="1">
      <alignment horizontal="center"/>
      <protection/>
    </xf>
    <xf numFmtId="0" fontId="1" fillId="0" borderId="5" xfId="0" applyFont="1" applyFill="1" applyBorder="1" applyAlignment="1" applyProtection="1">
      <alignment horizontal="center"/>
      <protection/>
    </xf>
    <xf numFmtId="43" fontId="1" fillId="0" borderId="17" xfId="15" applyFont="1" applyFill="1" applyBorder="1" applyAlignment="1" applyProtection="1">
      <alignment horizontal="center"/>
      <protection/>
    </xf>
    <xf numFmtId="0" fontId="1" fillId="0" borderId="27" xfId="0" applyFont="1" applyFill="1" applyBorder="1" applyAlignment="1" applyProtection="1">
      <alignment horizontal="centerContinuous"/>
      <protection/>
    </xf>
    <xf numFmtId="0" fontId="1" fillId="0" borderId="28" xfId="0" applyFont="1" applyFill="1" applyBorder="1" applyAlignment="1" applyProtection="1">
      <alignment horizontal="center"/>
      <protection/>
    </xf>
    <xf numFmtId="43" fontId="1" fillId="0" borderId="29" xfId="15" applyFont="1" applyFill="1" applyBorder="1" applyAlignment="1" applyProtection="1">
      <alignment horizontal="center"/>
      <protection/>
    </xf>
    <xf numFmtId="0" fontId="2" fillId="0" borderId="30" xfId="0" applyFont="1" applyFill="1" applyBorder="1" applyAlignment="1" applyProtection="1">
      <alignment/>
      <protection/>
    </xf>
    <xf numFmtId="0" fontId="2" fillId="0" borderId="6" xfId="0" applyFont="1" applyFill="1" applyBorder="1" applyAlignment="1" applyProtection="1">
      <alignment/>
      <protection/>
    </xf>
    <xf numFmtId="43" fontId="2" fillId="0" borderId="16" xfId="15" applyFont="1" applyFill="1" applyBorder="1" applyAlignment="1" applyProtection="1">
      <alignment/>
      <protection/>
    </xf>
    <xf numFmtId="0" fontId="2" fillId="0" borderId="5" xfId="0" applyFont="1" applyFill="1" applyBorder="1" applyAlignment="1" applyProtection="1">
      <alignment/>
      <protection/>
    </xf>
    <xf numFmtId="43" fontId="2" fillId="0" borderId="17" xfId="15" applyFont="1" applyFill="1" applyBorder="1" applyAlignment="1" applyProtection="1">
      <alignment/>
      <protection/>
    </xf>
    <xf numFmtId="0" fontId="2" fillId="0" borderId="5" xfId="0" applyFont="1" applyFill="1" applyBorder="1" applyAlignment="1" applyProtection="1">
      <alignment horizontal="center"/>
      <protection/>
    </xf>
    <xf numFmtId="164" fontId="1" fillId="0" borderId="18" xfId="0" applyNumberFormat="1" applyFont="1" applyFill="1" applyBorder="1" applyAlignment="1" applyProtection="1">
      <alignment/>
      <protection locked="0"/>
    </xf>
    <xf numFmtId="0" fontId="2" fillId="0" borderId="6" xfId="0" applyFont="1" applyFill="1" applyBorder="1" applyAlignment="1" applyProtection="1">
      <alignment horizontal="center"/>
      <protection/>
    </xf>
    <xf numFmtId="164" fontId="2" fillId="0" borderId="31" xfId="0" applyNumberFormat="1" applyFont="1" applyFill="1" applyBorder="1" applyAlignment="1" applyProtection="1">
      <alignment/>
      <protection locked="0"/>
    </xf>
    <xf numFmtId="165" fontId="1" fillId="0" borderId="18" xfId="0" applyNumberFormat="1" applyFont="1" applyFill="1" applyBorder="1" applyAlignment="1" applyProtection="1">
      <alignment/>
      <protection/>
    </xf>
    <xf numFmtId="165" fontId="2" fillId="0" borderId="32" xfId="0" applyNumberFormat="1" applyFont="1" applyFill="1" applyBorder="1" applyAlignment="1" applyProtection="1">
      <alignment horizontal="center"/>
      <protection/>
    </xf>
    <xf numFmtId="0" fontId="2" fillId="0" borderId="32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/>
      <protection/>
    </xf>
    <xf numFmtId="0" fontId="1" fillId="0" borderId="7" xfId="0" applyFont="1" applyFill="1" applyBorder="1" applyAlignment="1" applyProtection="1">
      <alignment horizontal="center"/>
      <protection/>
    </xf>
    <xf numFmtId="164" fontId="1" fillId="0" borderId="33" xfId="0" applyNumberFormat="1" applyFont="1" applyFill="1" applyBorder="1" applyAlignment="1" applyProtection="1">
      <alignment/>
      <protection/>
    </xf>
    <xf numFmtId="164" fontId="1" fillId="0" borderId="33" xfId="0" applyNumberFormat="1" applyFont="1" applyFill="1" applyBorder="1" applyAlignment="1" applyProtection="1">
      <alignment/>
      <protection locked="0"/>
    </xf>
    <xf numFmtId="0" fontId="2" fillId="0" borderId="0" xfId="0" applyFont="1" applyFill="1" applyAlignment="1" applyProtection="1">
      <alignment/>
      <protection/>
    </xf>
    <xf numFmtId="0" fontId="2" fillId="0" borderId="14" xfId="0" applyFont="1" applyFill="1" applyBorder="1" applyAlignment="1" applyProtection="1">
      <alignment/>
      <protection/>
    </xf>
    <xf numFmtId="43" fontId="2" fillId="0" borderId="25" xfId="15" applyFont="1" applyFill="1" applyBorder="1" applyAlignment="1" applyProtection="1">
      <alignment/>
      <protection/>
    </xf>
    <xf numFmtId="164" fontId="0" fillId="0" borderId="0" xfId="0" applyNumberFormat="1" applyFill="1" applyAlignment="1">
      <alignment/>
    </xf>
    <xf numFmtId="43" fontId="1" fillId="0" borderId="19" xfId="15" applyFont="1" applyFill="1" applyBorder="1" applyAlignment="1" applyProtection="1">
      <alignment horizontal="center"/>
      <protection/>
    </xf>
    <xf numFmtId="0" fontId="1" fillId="0" borderId="12" xfId="0" applyFont="1" applyFill="1" applyBorder="1" applyAlignment="1" applyProtection="1">
      <alignment/>
      <protection/>
    </xf>
    <xf numFmtId="0" fontId="1" fillId="0" borderId="8" xfId="0" applyFont="1" applyFill="1" applyBorder="1" applyAlignment="1" applyProtection="1">
      <alignment/>
      <protection/>
    </xf>
    <xf numFmtId="43" fontId="1" fillId="0" borderId="22" xfId="15" applyFont="1" applyFill="1" applyBorder="1" applyAlignment="1" applyProtection="1">
      <alignment/>
      <protection/>
    </xf>
    <xf numFmtId="0" fontId="1" fillId="0" borderId="9" xfId="0" applyFont="1" applyFill="1" applyBorder="1" applyAlignment="1" applyProtection="1">
      <alignment horizontal="center"/>
      <protection/>
    </xf>
    <xf numFmtId="0" fontId="1" fillId="0" borderId="27" xfId="0" applyFont="1" applyFill="1" applyBorder="1" applyAlignment="1" applyProtection="1">
      <alignment horizontal="center"/>
      <protection/>
    </xf>
    <xf numFmtId="0" fontId="2" fillId="0" borderId="8" xfId="0" applyFont="1" applyFill="1" applyBorder="1" applyAlignment="1" applyProtection="1">
      <alignment/>
      <protection/>
    </xf>
    <xf numFmtId="0" fontId="2" fillId="0" borderId="9" xfId="0" applyFont="1" applyFill="1" applyBorder="1" applyAlignment="1" applyProtection="1">
      <alignment/>
      <protection/>
    </xf>
    <xf numFmtId="43" fontId="1" fillId="0" borderId="17" xfId="15" applyFont="1" applyFill="1" applyBorder="1" applyAlignment="1" applyProtection="1">
      <alignment/>
      <protection/>
    </xf>
    <xf numFmtId="165" fontId="2" fillId="0" borderId="15" xfId="0" applyNumberFormat="1" applyFont="1" applyFill="1" applyBorder="1" applyAlignment="1" applyProtection="1">
      <alignment horizontal="center"/>
      <protection/>
    </xf>
    <xf numFmtId="164" fontId="1" fillId="0" borderId="11" xfId="15" applyNumberFormat="1" applyFont="1" applyFill="1" applyBorder="1" applyAlignment="1" applyProtection="1">
      <alignment/>
      <protection locked="0"/>
    </xf>
    <xf numFmtId="165" fontId="2" fillId="0" borderId="34" xfId="0" applyNumberFormat="1" applyFont="1" applyFill="1" applyBorder="1" applyAlignment="1" applyProtection="1">
      <alignment horizontal="center"/>
      <protection/>
    </xf>
    <xf numFmtId="165" fontId="1" fillId="0" borderId="35" xfId="15" applyNumberFormat="1" applyFont="1" applyFill="1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 horizontal="center"/>
      <protection/>
    </xf>
    <xf numFmtId="165" fontId="1" fillId="0" borderId="16" xfId="15" applyNumberFormat="1" applyFont="1" applyFill="1" applyBorder="1" applyAlignment="1" applyProtection="1">
      <alignment/>
      <protection/>
    </xf>
    <xf numFmtId="165" fontId="1" fillId="0" borderId="11" xfId="15" applyNumberFormat="1" applyFont="1" applyFill="1" applyBorder="1" applyAlignment="1" applyProtection="1">
      <alignment/>
      <protection locked="0"/>
    </xf>
    <xf numFmtId="0" fontId="2" fillId="0" borderId="9" xfId="0" applyFont="1" applyFill="1" applyBorder="1" applyAlignment="1" applyProtection="1">
      <alignment horizontal="center"/>
      <protection/>
    </xf>
    <xf numFmtId="165" fontId="1" fillId="0" borderId="17" xfId="15" applyNumberFormat="1" applyFont="1" applyFill="1" applyBorder="1" applyAlignment="1" applyProtection="1">
      <alignment/>
      <protection/>
    </xf>
    <xf numFmtId="0" fontId="2" fillId="0" borderId="2" xfId="0" applyFont="1" applyFill="1" applyBorder="1" applyAlignment="1" applyProtection="1">
      <alignment horizontal="right"/>
      <protection/>
    </xf>
    <xf numFmtId="165" fontId="1" fillId="0" borderId="15" xfId="0" applyNumberFormat="1" applyFont="1" applyFill="1" applyBorder="1" applyAlignment="1" applyProtection="1">
      <alignment horizontal="center"/>
      <protection/>
    </xf>
    <xf numFmtId="164" fontId="1" fillId="0" borderId="29" xfId="15" applyNumberFormat="1" applyFont="1" applyFill="1" applyBorder="1" applyAlignment="1" applyProtection="1">
      <alignment/>
      <protection/>
    </xf>
    <xf numFmtId="165" fontId="1" fillId="0" borderId="24" xfId="15" applyNumberFormat="1" applyFont="1" applyFill="1" applyBorder="1" applyAlignment="1" applyProtection="1">
      <alignment/>
      <protection/>
    </xf>
    <xf numFmtId="165" fontId="2" fillId="0" borderId="7" xfId="0" applyNumberFormat="1" applyFont="1" applyFill="1" applyBorder="1" applyAlignment="1" applyProtection="1">
      <alignment horizontal="center"/>
      <protection/>
    </xf>
    <xf numFmtId="43" fontId="1" fillId="0" borderId="25" xfId="15" applyFont="1" applyFill="1" applyBorder="1" applyAlignment="1" applyProtection="1">
      <alignment/>
      <protection/>
    </xf>
    <xf numFmtId="0" fontId="1" fillId="0" borderId="24" xfId="0" applyFont="1" applyFill="1" applyBorder="1" applyAlignment="1" applyProtection="1">
      <alignment horizontal="centerContinuous"/>
      <protection/>
    </xf>
    <xf numFmtId="0" fontId="1" fillId="0" borderId="21" xfId="15" applyNumberFormat="1" applyFont="1" applyFill="1" applyBorder="1" applyAlignment="1" applyProtection="1">
      <alignment horizontal="center"/>
      <protection/>
    </xf>
    <xf numFmtId="0" fontId="2" fillId="0" borderId="12" xfId="0" applyFont="1" applyFill="1" applyBorder="1" applyAlignment="1" applyProtection="1">
      <alignment/>
      <protection/>
    </xf>
    <xf numFmtId="43" fontId="1" fillId="0" borderId="16" xfId="15" applyFont="1" applyFill="1" applyBorder="1" applyAlignment="1" applyProtection="1">
      <alignment/>
      <protection/>
    </xf>
    <xf numFmtId="0" fontId="1" fillId="0" borderId="19" xfId="0" applyFont="1" applyFill="1" applyBorder="1" applyAlignment="1" applyProtection="1">
      <alignment horizontal="center"/>
      <protection/>
    </xf>
    <xf numFmtId="0" fontId="1" fillId="0" borderId="22" xfId="0" applyFont="1" applyFill="1" applyBorder="1" applyAlignment="1" applyProtection="1">
      <alignment horizontal="center"/>
      <protection/>
    </xf>
    <xf numFmtId="43" fontId="1" fillId="0" borderId="24" xfId="15" applyFont="1" applyFill="1" applyBorder="1" applyAlignment="1" applyProtection="1">
      <alignment/>
      <protection/>
    </xf>
    <xf numFmtId="43" fontId="1" fillId="0" borderId="20" xfId="15" applyFont="1" applyFill="1" applyBorder="1" applyAlignment="1" applyProtection="1">
      <alignment horizontal="center"/>
      <protection/>
    </xf>
    <xf numFmtId="0" fontId="1" fillId="0" borderId="8" xfId="0" applyFont="1" applyFill="1" applyBorder="1" applyAlignment="1" applyProtection="1">
      <alignment horizontal="center"/>
      <protection/>
    </xf>
    <xf numFmtId="43" fontId="1" fillId="0" borderId="36" xfId="15" applyFont="1" applyFill="1" applyBorder="1" applyAlignment="1" applyProtection="1">
      <alignment/>
      <protection/>
    </xf>
    <xf numFmtId="0" fontId="1" fillId="0" borderId="37" xfId="15" applyNumberFormat="1" applyFont="1" applyFill="1" applyBorder="1" applyAlignment="1" applyProtection="1">
      <alignment horizontal="center"/>
      <protection/>
    </xf>
    <xf numFmtId="0" fontId="2" fillId="0" borderId="8" xfId="0" applyFont="1" applyFill="1" applyBorder="1" applyAlignment="1" applyProtection="1">
      <alignment horizontal="center"/>
      <protection/>
    </xf>
    <xf numFmtId="0" fontId="1" fillId="0" borderId="1" xfId="0" applyFont="1" applyFill="1" applyBorder="1" applyAlignment="1" applyProtection="1">
      <alignment horizontal="centerContinuous"/>
      <protection/>
    </xf>
    <xf numFmtId="0" fontId="1" fillId="0" borderId="20" xfId="15" applyNumberFormat="1" applyFont="1" applyFill="1" applyBorder="1" applyAlignment="1" applyProtection="1">
      <alignment horizontal="center"/>
      <protection/>
    </xf>
    <xf numFmtId="0" fontId="1" fillId="0" borderId="2" xfId="0" applyFont="1" applyFill="1" applyBorder="1" applyAlignment="1" applyProtection="1">
      <alignment horizontal="centerContinuous"/>
      <protection/>
    </xf>
    <xf numFmtId="0" fontId="1" fillId="0" borderId="1" xfId="0" applyFont="1" applyFill="1" applyBorder="1" applyAlignment="1" applyProtection="1">
      <alignment horizontal="center"/>
      <protection/>
    </xf>
    <xf numFmtId="0" fontId="1" fillId="0" borderId="2" xfId="0" applyFont="1" applyFill="1" applyBorder="1" applyAlignment="1" applyProtection="1">
      <alignment horizontal="center"/>
      <protection/>
    </xf>
    <xf numFmtId="0" fontId="1" fillId="0" borderId="2" xfId="0" applyFont="1" applyFill="1" applyBorder="1" applyAlignment="1" applyProtection="1">
      <alignment/>
      <protection/>
    </xf>
    <xf numFmtId="0" fontId="2" fillId="0" borderId="1" xfId="0" applyFont="1" applyFill="1" applyBorder="1" applyAlignment="1" applyProtection="1">
      <alignment/>
      <protection/>
    </xf>
    <xf numFmtId="0" fontId="2" fillId="0" borderId="2" xfId="0" applyFont="1" applyFill="1" applyBorder="1" applyAlignment="1" applyProtection="1">
      <alignment/>
      <protection/>
    </xf>
    <xf numFmtId="0" fontId="2" fillId="0" borderId="13" xfId="0" applyFont="1" applyFill="1" applyBorder="1" applyAlignment="1" applyProtection="1">
      <alignment/>
      <protection/>
    </xf>
    <xf numFmtId="164" fontId="7" fillId="0" borderId="29" xfId="15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2" fillId="0" borderId="12" xfId="0" applyFont="1" applyFill="1" applyBorder="1" applyAlignment="1" applyProtection="1">
      <alignment horizontal="centerContinuous"/>
      <protection/>
    </xf>
    <xf numFmtId="0" fontId="2" fillId="0" borderId="0" xfId="0" applyFont="1" applyFill="1" applyBorder="1" applyAlignment="1" applyProtection="1">
      <alignment horizontal="centerContinuous"/>
      <protection/>
    </xf>
    <xf numFmtId="165" fontId="1" fillId="0" borderId="11" xfId="15" applyNumberFormat="1" applyFont="1" applyFill="1" applyBorder="1" applyAlignment="1" applyProtection="1">
      <alignment horizontal="right"/>
      <protection/>
    </xf>
    <xf numFmtId="43" fontId="1" fillId="0" borderId="16" xfId="15" applyFont="1" applyFill="1" applyBorder="1" applyAlignment="1" applyProtection="1">
      <alignment horizontal="right"/>
      <protection/>
    </xf>
    <xf numFmtId="165" fontId="1" fillId="0" borderId="11" xfId="15" applyNumberFormat="1" applyFont="1" applyFill="1" applyBorder="1" applyAlignment="1" applyProtection="1">
      <alignment horizontal="right"/>
      <protection locked="0"/>
    </xf>
    <xf numFmtId="164" fontId="1" fillId="0" borderId="29" xfId="15" applyNumberFormat="1" applyFont="1" applyFill="1" applyBorder="1" applyAlignment="1" applyProtection="1">
      <alignment horizontal="right"/>
      <protection/>
    </xf>
    <xf numFmtId="43" fontId="1" fillId="0" borderId="17" xfId="15" applyFont="1" applyFill="1" applyBorder="1" applyAlignment="1" applyProtection="1">
      <alignment horizontal="right"/>
      <protection/>
    </xf>
    <xf numFmtId="164" fontId="1" fillId="0" borderId="11" xfId="15" applyNumberFormat="1" applyFont="1" applyFill="1" applyBorder="1" applyAlignment="1" applyProtection="1">
      <alignment horizontal="right"/>
      <protection locked="0"/>
    </xf>
    <xf numFmtId="0" fontId="2" fillId="0" borderId="38" xfId="0" applyFont="1" applyFill="1" applyBorder="1" applyAlignment="1" applyProtection="1">
      <alignment/>
      <protection/>
    </xf>
    <xf numFmtId="43" fontId="1" fillId="0" borderId="22" xfId="15" applyFont="1" applyFill="1" applyBorder="1" applyAlignment="1" applyProtection="1">
      <alignment horizontal="right"/>
      <protection/>
    </xf>
    <xf numFmtId="0" fontId="2" fillId="0" borderId="9" xfId="0" applyFont="1" applyFill="1" applyBorder="1" applyAlignment="1" applyProtection="1">
      <alignment/>
      <protection/>
    </xf>
    <xf numFmtId="43" fontId="1" fillId="0" borderId="17" xfId="15" applyFont="1" applyFill="1" applyBorder="1" applyAlignment="1" applyProtection="1">
      <alignment horizontal="centerContinuous"/>
      <protection/>
    </xf>
    <xf numFmtId="0" fontId="2" fillId="0" borderId="39" xfId="0" applyFont="1" applyFill="1" applyBorder="1" applyAlignment="1" applyProtection="1">
      <alignment horizontal="center"/>
      <protection/>
    </xf>
    <xf numFmtId="43" fontId="1" fillId="0" borderId="23" xfId="15" applyFont="1" applyFill="1" applyBorder="1" applyAlignment="1" applyProtection="1">
      <alignment horizontal="right"/>
      <protection/>
    </xf>
    <xf numFmtId="164" fontId="1" fillId="0" borderId="11" xfId="15" applyNumberFormat="1" applyFont="1" applyFill="1" applyBorder="1" applyAlignment="1" applyProtection="1">
      <alignment horizontal="right"/>
      <protection/>
    </xf>
    <xf numFmtId="0" fontId="2" fillId="0" borderId="14" xfId="0" applyFont="1" applyFill="1" applyBorder="1" applyAlignment="1" applyProtection="1">
      <alignment horizontal="center"/>
      <protection/>
    </xf>
    <xf numFmtId="43" fontId="1" fillId="0" borderId="25" xfId="15" applyFont="1" applyFill="1" applyBorder="1" applyAlignment="1" applyProtection="1">
      <alignment horizontal="righ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tp://cnrdept1.uwsp.edu/CLUE/COCS/St.%20Croix/Financial%20Form%20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ONE"/>
      <sheetName val="TWO"/>
      <sheetName val="THREE"/>
      <sheetName val="FOUR"/>
      <sheetName val="FIVE"/>
      <sheetName val="SIX"/>
      <sheetName val="SEVEN"/>
      <sheetName val="EIGHT"/>
      <sheetName val="NINE"/>
      <sheetName val="TEN"/>
      <sheetName val="ELEVEN"/>
      <sheetName val="TWELVE"/>
      <sheetName val="THIRTEEN"/>
      <sheetName val="FOURTEEN"/>
      <sheetName val="FIFTEEN"/>
      <sheetName val="SIXTEEN"/>
      <sheetName val="SEVENTEEN"/>
      <sheetName val="EIGHTEEN"/>
      <sheetName val="MuniList"/>
      <sheetName val="modPrinting"/>
    </sheetNames>
    <sheetDataSet>
      <sheetData sheetId="0">
        <row r="13">
          <cell r="C13">
            <v>2004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6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7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61"/>
  <sheetViews>
    <sheetView tabSelected="1" workbookViewId="0" topLeftCell="A1">
      <selection activeCell="A1" sqref="A1"/>
    </sheetView>
  </sheetViews>
  <sheetFormatPr defaultColWidth="9.140625" defaultRowHeight="12.75"/>
  <cols>
    <col min="2" max="2" width="83.57421875" style="0" customWidth="1"/>
    <col min="3" max="3" width="12.28125" style="0" bestFit="1" customWidth="1"/>
    <col min="4" max="4" width="17.57421875" style="42" bestFit="1" customWidth="1"/>
  </cols>
  <sheetData>
    <row r="1" ht="15">
      <c r="B1" s="32" t="s">
        <v>262</v>
      </c>
    </row>
    <row r="2" ht="13.5" thickBot="1"/>
    <row r="3" spans="2:4" ht="17.25" thickBot="1" thickTop="1">
      <c r="B3" s="23" t="s">
        <v>216</v>
      </c>
      <c r="C3" s="24"/>
      <c r="D3" s="43"/>
    </row>
    <row r="4" spans="2:4" ht="16.5" thickTop="1">
      <c r="B4" s="23" t="s">
        <v>218</v>
      </c>
      <c r="C4" s="24"/>
      <c r="D4" s="44"/>
    </row>
    <row r="5" spans="2:4" ht="16.5" thickBot="1">
      <c r="B5" s="2" t="s">
        <v>219</v>
      </c>
      <c r="C5" s="3"/>
      <c r="D5" s="45">
        <f>+'[1]Main'!$C$13</f>
        <v>2004</v>
      </c>
    </row>
    <row r="6" spans="2:4" ht="16.5" thickTop="1">
      <c r="B6" s="13"/>
      <c r="C6" s="14"/>
      <c r="D6" s="46"/>
    </row>
    <row r="7" spans="2:4" ht="15.75">
      <c r="B7" s="27" t="s">
        <v>104</v>
      </c>
      <c r="C7" s="15" t="s">
        <v>105</v>
      </c>
      <c r="D7" s="47" t="s">
        <v>106</v>
      </c>
    </row>
    <row r="8" spans="2:4" ht="16.5" thickBot="1">
      <c r="B8" s="8"/>
      <c r="C8" s="15" t="s">
        <v>107</v>
      </c>
      <c r="D8" s="47" t="s">
        <v>220</v>
      </c>
    </row>
    <row r="9" spans="2:4" ht="16.5" thickTop="1">
      <c r="B9" s="16"/>
      <c r="C9" s="17"/>
      <c r="D9" s="46"/>
    </row>
    <row r="10" spans="2:4" ht="15.75">
      <c r="B10" s="8" t="s">
        <v>221</v>
      </c>
      <c r="C10" s="19"/>
      <c r="D10" s="48"/>
    </row>
    <row r="11" spans="2:4" ht="15.75">
      <c r="B11" s="6" t="str">
        <f>"     Tax collections (January 2004 collections)  "&amp;REPT(".  ",255)</f>
        <v>     Tax collections (January 2004 collections)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11" s="19" t="s">
        <v>222</v>
      </c>
      <c r="D11" s="49"/>
    </row>
    <row r="12" spans="2:4" ht="15.75">
      <c r="B12" s="6" t="str">
        <f>"     Advance tax collections applied (Dec. 01)(Must equal acct. 151-26100)  "&amp;REPT(".  ",255)</f>
        <v>     Advance tax collections applied (Dec. 01)(Must equal acct. 151-26100)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12" s="18" t="s">
        <v>223</v>
      </c>
      <c r="D12" s="50"/>
    </row>
    <row r="13" spans="2:4" ht="15.75">
      <c r="B13" s="6" t="str">
        <f>"     Lottery credit received from state in 2004 for property tax roll  "&amp;REPT(".  ",255)</f>
        <v>     Lottery credit received from state in 2004 for property tax roll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13" s="18" t="s">
        <v>224</v>
      </c>
      <c r="D13" s="50"/>
    </row>
    <row r="14" spans="2:4" ht="15.75">
      <c r="B14" s="6" t="str">
        <f>"     School Levies Tax Credit received July 2004  "&amp;REPT(".  ",255)</f>
        <v>     School Levies Tax Credit received July 2004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14" s="18" t="s">
        <v>225</v>
      </c>
      <c r="D14" s="50"/>
    </row>
    <row r="15" spans="2:4" ht="15.75">
      <c r="B15" s="6" t="str">
        <f>"     Dog license collections  "&amp;REPT(".  ",255)</f>
        <v>     Dog license collections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15" s="18" t="s">
        <v>226</v>
      </c>
      <c r="D15" s="50"/>
    </row>
    <row r="16" spans="2:4" ht="15.75">
      <c r="B16" s="6" t="s">
        <v>263</v>
      </c>
      <c r="C16" s="19" t="s">
        <v>227</v>
      </c>
      <c r="D16" s="51"/>
    </row>
    <row r="17" spans="2:4" ht="15.75">
      <c r="B17" s="6" t="str">
        <f>"     Collection of delinq/postponed personal property tax &amp; interest  "&amp;REPT(".  ",255)</f>
        <v>     Collection of delinq/postponed personal property tax &amp; interest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17" s="19" t="s">
        <v>228</v>
      </c>
      <c r="D17" s="51"/>
    </row>
    <row r="18" spans="2:4" ht="15.75">
      <c r="B18" s="6"/>
      <c r="C18" s="10"/>
      <c r="D18" s="29"/>
    </row>
    <row r="19" spans="2:4" ht="15.75">
      <c r="B19" s="8" t="s">
        <v>229</v>
      </c>
      <c r="C19" s="9"/>
      <c r="D19" s="48"/>
    </row>
    <row r="20" spans="2:4" ht="16.5" thickBot="1">
      <c r="B20" s="8" t="str">
        <f>"        (Sum of lines 002-40000 through 018-40000 above)  "&amp;REPT(".  ",255)</f>
        <v>        (Sum of lines 002-40000 through 018-40000 above)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20" s="11" t="s">
        <v>230</v>
      </c>
      <c r="D20" s="52"/>
    </row>
    <row r="21" spans="2:4" ht="16.5" thickTop="1">
      <c r="B21" s="6"/>
      <c r="C21" s="19"/>
      <c r="D21" s="48"/>
    </row>
    <row r="22" spans="2:4" ht="15.75">
      <c r="B22" s="8" t="s">
        <v>231</v>
      </c>
      <c r="C22" s="19"/>
      <c r="D22" s="48"/>
    </row>
    <row r="23" spans="2:4" ht="15.75">
      <c r="B23" s="6" t="str">
        <f>"     Tax coll., lottery and tax credits paid to county(Inc. state taxes)  "&amp;REPT(".  ",255)</f>
        <v>     Tax coll., lottery and tax credits paid to county(Inc. state taxes)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23" s="19" t="s">
        <v>232</v>
      </c>
      <c r="D23" s="49"/>
    </row>
    <row r="24" spans="2:4" ht="15.75">
      <c r="B24" s="6" t="str">
        <f>"     Dog licenses paid to county  "&amp;REPT(".  ",255)</f>
        <v>     Dog licenses paid to county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24" s="18" t="s">
        <v>233</v>
      </c>
      <c r="D24" s="50"/>
    </row>
    <row r="25" spans="2:4" ht="15.75">
      <c r="B25" s="6" t="str">
        <f>"     Tax collections and lottery credits paid to local schools  "&amp;REPT(".  ",255)</f>
        <v>     Tax collections and lottery credits paid to local schools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25" s="18" t="s">
        <v>234</v>
      </c>
      <c r="D25" s="50"/>
    </row>
    <row r="26" spans="2:4" ht="15.75">
      <c r="B26" s="6" t="str">
        <f>"     Tax collections and lottery credits paid to technical colleges  "&amp;REPT(".  ",255)</f>
        <v>     Tax collections and lottery credits paid to technical colleges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26" s="18" t="s">
        <v>235</v>
      </c>
      <c r="D26" s="50"/>
    </row>
    <row r="27" spans="2:4" ht="15.75">
      <c r="B27" s="6" t="str">
        <f>"     Tax collections and lottery credits paid to sanitary and lake districts  "&amp;REPT(".  ",255)</f>
        <v>     Tax collections and lottery credits paid to sanitary and lake districts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27" s="18" t="s">
        <v>236</v>
      </c>
      <c r="D27" s="50"/>
    </row>
    <row r="28" spans="2:4" ht="15.75">
      <c r="B28" s="6" t="str">
        <f>"     Special assessments &amp; special charges paid to others  "&amp;REPT(".  ",255)</f>
        <v>     Special assessments &amp; special charges paid to others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28" s="18" t="s">
        <v>237</v>
      </c>
      <c r="D28" s="50"/>
    </row>
    <row r="29" spans="2:4" ht="15.75">
      <c r="B29" s="6"/>
      <c r="C29" s="10"/>
      <c r="D29" s="29"/>
    </row>
    <row r="30" spans="2:4" ht="15.75">
      <c r="B30" s="8" t="s">
        <v>238</v>
      </c>
      <c r="C30" s="9"/>
      <c r="D30" s="48"/>
    </row>
    <row r="31" spans="2:4" ht="16.5" thickBot="1">
      <c r="B31" s="8" t="str">
        <f>"        (Sum of lines 022-50000 through 035-50000 above)  "&amp;REPT(".  ",255)</f>
        <v>        (Sum of lines 022-50000 through 035-50000 above)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31" s="11" t="s">
        <v>239</v>
      </c>
      <c r="D31" s="53"/>
    </row>
    <row r="32" spans="2:4" ht="16.5" thickTop="1">
      <c r="B32" s="6"/>
      <c r="C32" s="19"/>
      <c r="D32" s="48"/>
    </row>
    <row r="33" spans="2:4" ht="15.75">
      <c r="B33" s="8" t="s">
        <v>240</v>
      </c>
      <c r="C33" s="19"/>
      <c r="D33" s="48"/>
    </row>
    <row r="34" spans="2:4" ht="15.75">
      <c r="B34" s="6" t="str">
        <f>"     Occupational tax (Transfer to acct. 100-41130 page 2)  "&amp;REPT(".  ",255)</f>
        <v>     Occupational tax (Transfer to acct. 100-41130 page 2)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34" s="18" t="s">
        <v>241</v>
      </c>
      <c r="D34" s="50"/>
    </row>
    <row r="35" spans="2:4" ht="15.75">
      <c r="B35" s="6" t="str">
        <f>"     Private forest crop/managed forest land tax (Transfer to 100-41150 page 2)  "&amp;REPT(".  ",255)</f>
        <v>     Private forest crop/managed forest land tax (Transfer to 100-41150 page 2)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35" s="18" t="s">
        <v>242</v>
      </c>
      <c r="D35" s="50"/>
    </row>
    <row r="36" spans="2:4" ht="15.75">
      <c r="B36" s="6" t="s">
        <v>243</v>
      </c>
      <c r="C36" s="18"/>
      <c r="D36" s="29"/>
    </row>
    <row r="37" spans="2:4" ht="15.75">
      <c r="B37" s="6" t="str">
        <f>"       (Transfer to acct. 100-41800 page 2)  "&amp;REPT(".  ",255)</f>
        <v>       (Transfer to acct. 100-41800 page 2)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37" s="19" t="s">
        <v>244</v>
      </c>
      <c r="D37" s="51"/>
    </row>
    <row r="38" spans="2:4" ht="15.75">
      <c r="B38" s="6" t="str">
        <f>"     Special assessments (Include at acct. 102-42000 page 2)  "&amp;REPT(".  ",255)</f>
        <v>     Special assessments (Include at acct. 102-42000 page 2)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38" s="18" t="s">
        <v>245</v>
      </c>
      <c r="D38" s="50"/>
    </row>
    <row r="39" spans="2:4" ht="15.75">
      <c r="B39" s="6" t="str">
        <f>"     Dog licenses (Line 008 minus 025) (Inc. at acct. 105-44200 page 3)  "&amp;REPT(".  ",255)</f>
        <v>     Dog licenses (Line 008 minus 025) (Inc. at acct. 105-44200 page 3)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39" s="18" t="s">
        <v>246</v>
      </c>
      <c r="D39" s="50"/>
    </row>
    <row r="40" spans="2:4" ht="15.75">
      <c r="B40" s="6" t="str">
        <f>"     Interest on special assessments and charges (Transfer to account 113-48130 on page 6)  "&amp;REPT(".  ",255)</f>
        <v>     Interest on special assessments and charges (Transfer to account 113-48130 on page 6)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40" s="18" t="s">
        <v>247</v>
      </c>
      <c r="D40" s="54"/>
    </row>
    <row r="41" spans="2:4" ht="15.75">
      <c r="B41" s="6" t="str">
        <f>"     Local special charges (Distribute-pages 2 through 6)  "&amp;REPT(".  ",255)</f>
        <v>     Local special charges (Distribute-pages 2 through 6)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41" s="18" t="s">
        <v>248</v>
      </c>
      <c r="D41" s="50"/>
    </row>
    <row r="42" spans="2:4" ht="15.75">
      <c r="B42" s="6"/>
      <c r="C42" s="18"/>
      <c r="D42" s="55"/>
    </row>
    <row r="43" spans="2:4" ht="16.5" thickBot="1">
      <c r="B43" s="8" t="str">
        <f>"     Sum of lines 040-50000 through 058-46000 above.  "&amp;REPT(".  ",255)</f>
        <v>     Sum of lines 040-50000 through 058-46000 above.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43" s="28" t="s">
        <v>249</v>
      </c>
      <c r="D43" s="52"/>
    </row>
    <row r="44" spans="2:4" ht="16.5" thickTop="1">
      <c r="B44" s="6"/>
      <c r="C44" s="19"/>
      <c r="D44" s="48"/>
    </row>
    <row r="45" spans="2:4" ht="15.75">
      <c r="B45" s="8" t="s">
        <v>250</v>
      </c>
      <c r="C45" s="19"/>
      <c r="D45" s="48"/>
    </row>
    <row r="46" spans="2:4" ht="15.75">
      <c r="B46" s="8"/>
      <c r="C46" s="19"/>
      <c r="D46" s="48"/>
    </row>
    <row r="47" spans="2:4" ht="15.75">
      <c r="B47" s="8" t="s">
        <v>251</v>
      </c>
      <c r="C47" s="19"/>
      <c r="D47" s="48"/>
    </row>
    <row r="48" spans="2:4" ht="15.75">
      <c r="B48" s="8"/>
      <c r="C48" s="19"/>
      <c r="D48" s="48"/>
    </row>
    <row r="49" spans="2:4" ht="15.75">
      <c r="B49" s="6" t="str">
        <f>"     If the difference is greater than zero, enter amount on this line.  "&amp;REPT(".  ",255)</f>
        <v>     If the difference is greater than zero, enter amount on this line.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49" s="19" t="s">
        <v>252</v>
      </c>
      <c r="D49" s="33"/>
    </row>
    <row r="50" spans="2:4" ht="15.75">
      <c r="B50" s="6" t="str">
        <f>"     If the difference is less than zero, enter amount on this line.  "&amp;REPT(".  ",255)</f>
        <v>     If the difference is less than zero, enter amount on this line.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50" s="18" t="s">
        <v>253</v>
      </c>
      <c r="D50" s="29"/>
    </row>
    <row r="51" spans="2:4" ht="15.75">
      <c r="B51" s="6" t="str">
        <f>" (*) Add: Other state special charges levied for state  "&amp;REPT(".  ",255)</f>
        <v> (*) Add: Other state special charges levied for state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51" s="18" t="s">
        <v>254</v>
      </c>
      <c r="D51" s="50"/>
    </row>
    <row r="52" spans="2:4" ht="15.75">
      <c r="B52" s="6" t="str">
        <f>" (*) Add: County special charges levied for county  "&amp;REPT(".  ",255)</f>
        <v> (*) Add: County special charges levied for county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52" s="18" t="s">
        <v>255</v>
      </c>
      <c r="D52" s="50"/>
    </row>
    <row r="53" spans="2:4" ht="15.75">
      <c r="B53" s="8" t="s">
        <v>256</v>
      </c>
      <c r="C53" s="18"/>
      <c r="D53" s="55"/>
    </row>
    <row r="54" spans="2:4" ht="15.75">
      <c r="B54" s="6" t="s">
        <v>257</v>
      </c>
      <c r="C54" s="19"/>
      <c r="D54" s="48"/>
    </row>
    <row r="55" spans="2:4" ht="16.5" thickBot="1">
      <c r="B55" s="6" t="str">
        <f>"       account 100-41110 on page 2.  "&amp;REPT(".  ",255)</f>
        <v>       account 100-41110 on page 2.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55" s="28" t="s">
        <v>258</v>
      </c>
      <c r="D55" s="52"/>
    </row>
    <row r="56" spans="2:4" ht="16.5" thickTop="1">
      <c r="B56" s="6" t="s">
        <v>259</v>
      </c>
      <c r="C56" s="19"/>
      <c r="D56" s="48"/>
    </row>
    <row r="57" spans="2:4" ht="15.75">
      <c r="B57" s="6" t="str">
        <f>"        account 134-59800 on page 10.  "&amp;REPT(".  ",255)</f>
        <v>        account 134-59800 on page 10.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57" s="30" t="s">
        <v>260</v>
      </c>
      <c r="D57" s="56"/>
    </row>
    <row r="58" spans="2:4" ht="15.75">
      <c r="B58" s="6"/>
      <c r="C58" s="31"/>
      <c r="D58" s="57"/>
    </row>
    <row r="59" spans="2:4" ht="15.75">
      <c r="B59" s="8" t="s">
        <v>261</v>
      </c>
      <c r="C59" s="31"/>
      <c r="D59" s="57"/>
    </row>
    <row r="60" spans="2:4" ht="15.75">
      <c r="B60" s="6"/>
      <c r="C60" s="7"/>
      <c r="D60" s="57"/>
    </row>
    <row r="61" spans="2:4" ht="16.5" thickBot="1">
      <c r="B61" s="25"/>
      <c r="C61" s="26"/>
      <c r="D61" s="58"/>
    </row>
    <row r="62" ht="13.5" thickTop="1"/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1:F65"/>
  <sheetViews>
    <sheetView workbookViewId="0" topLeftCell="A21">
      <selection activeCell="F21" sqref="C1:F16384"/>
    </sheetView>
  </sheetViews>
  <sheetFormatPr defaultColWidth="9.140625" defaultRowHeight="12.75"/>
  <cols>
    <col min="2" max="2" width="49.8515625" style="0" customWidth="1"/>
    <col min="3" max="3" width="9.140625" style="42" customWidth="1"/>
    <col min="4" max="4" width="11.7109375" style="42" bestFit="1" customWidth="1"/>
    <col min="5" max="5" width="13.8515625" style="42" bestFit="1" customWidth="1"/>
    <col min="6" max="6" width="19.28125" style="42" bestFit="1" customWidth="1"/>
  </cols>
  <sheetData>
    <row r="1" ht="15">
      <c r="B1" s="12" t="s">
        <v>41</v>
      </c>
    </row>
    <row r="2" ht="13.5" thickBot="1"/>
    <row r="3" spans="2:6" ht="17.25" thickBot="1" thickTop="1">
      <c r="B3" s="23" t="s">
        <v>216</v>
      </c>
      <c r="C3" s="59"/>
      <c r="D3" s="59"/>
      <c r="E3" s="59"/>
      <c r="F3" s="91"/>
    </row>
    <row r="4" spans="2:6" ht="16.5" thickTop="1">
      <c r="B4" s="23" t="str">
        <f>+'[1]Main'!$C$13&amp;+" SCHEDULE OF REVENUES AND EXPENDITURES"</f>
        <v>2004 SCHEDULE OF REVENUES AND EXPENDITURES</v>
      </c>
      <c r="C4" s="59"/>
      <c r="D4" s="59"/>
      <c r="E4" s="59"/>
      <c r="F4" s="122"/>
    </row>
    <row r="5" spans="2:6" ht="16.5" thickBot="1">
      <c r="B5" s="2" t="s">
        <v>217</v>
      </c>
      <c r="C5" s="63"/>
      <c r="D5" s="63"/>
      <c r="E5" s="63"/>
      <c r="F5" s="125">
        <f>+'[1]Main'!$C$13</f>
        <v>2004</v>
      </c>
    </row>
    <row r="6" spans="2:6" ht="16.5" thickTop="1">
      <c r="B6" s="1"/>
      <c r="C6" s="64"/>
      <c r="D6" s="64"/>
      <c r="E6" s="123"/>
      <c r="F6" s="62"/>
    </row>
    <row r="7" spans="2:6" ht="15.75">
      <c r="B7" s="2" t="s">
        <v>104</v>
      </c>
      <c r="C7" s="63"/>
      <c r="D7" s="63"/>
      <c r="E7" s="95" t="s">
        <v>105</v>
      </c>
      <c r="F7" s="67" t="s">
        <v>106</v>
      </c>
    </row>
    <row r="8" spans="2:6" ht="16.5" thickBot="1">
      <c r="B8" s="8"/>
      <c r="C8" s="37"/>
      <c r="D8" s="37"/>
      <c r="E8" s="95" t="s">
        <v>107</v>
      </c>
      <c r="F8" s="67" t="s">
        <v>108</v>
      </c>
    </row>
    <row r="9" spans="2:6" ht="16.5" thickTop="1">
      <c r="B9" s="16"/>
      <c r="C9" s="117"/>
      <c r="D9" s="117"/>
      <c r="E9" s="97"/>
      <c r="F9" s="94"/>
    </row>
    <row r="10" spans="2:6" ht="15.75">
      <c r="B10" s="8" t="s">
        <v>42</v>
      </c>
      <c r="C10" s="37"/>
      <c r="D10" s="37"/>
      <c r="E10" s="98"/>
      <c r="F10" s="99"/>
    </row>
    <row r="11" spans="2:6" ht="15.75">
      <c r="B11" s="6" t="str">
        <f>"    Debt service--principal   "&amp;REPT(".  ",255)</f>
        <v>    Debt service--principal 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11" s="38"/>
      <c r="D11" s="38"/>
      <c r="E11" s="100" t="s">
        <v>43</v>
      </c>
      <c r="F11" s="101"/>
    </row>
    <row r="12" spans="2:6" ht="15.75">
      <c r="B12" s="6" t="s">
        <v>44</v>
      </c>
      <c r="C12" s="38"/>
      <c r="D12" s="38"/>
      <c r="E12" s="104"/>
      <c r="F12" s="118"/>
    </row>
    <row r="13" spans="2:6" ht="15.75">
      <c r="B13" s="6" t="str">
        <f>"           Law enforcement   "&amp;REPT(".  ",255)</f>
        <v>           Law enforcement 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13" s="38"/>
      <c r="D13" s="38"/>
      <c r="E13" s="100" t="s">
        <v>45</v>
      </c>
      <c r="F13" s="106"/>
    </row>
    <row r="14" spans="2:6" ht="15.75">
      <c r="B14" s="6" t="str">
        <f>"           Fire protection   "&amp;REPT(".  ",255)</f>
        <v>           Fire protection 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14" s="38"/>
      <c r="D14" s="38"/>
      <c r="E14" s="102" t="s">
        <v>46</v>
      </c>
      <c r="F14" s="103"/>
    </row>
    <row r="15" spans="2:6" ht="15.75">
      <c r="B15" s="6" t="str">
        <f>"           Ambulance\EMS   "&amp;REPT(".  ",255)</f>
        <v>           Ambulance\EMS 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15" s="38"/>
      <c r="D15" s="38"/>
      <c r="E15" s="102" t="s">
        <v>47</v>
      </c>
      <c r="F15" s="103"/>
    </row>
    <row r="16" spans="2:6" ht="15.75">
      <c r="B16" s="6" t="str">
        <f>"           Highway and street   "&amp;REPT(".  ",255)</f>
        <v>           Highway and street 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16" s="38"/>
      <c r="D16" s="38"/>
      <c r="E16" s="102" t="s">
        <v>48</v>
      </c>
      <c r="F16" s="103"/>
    </row>
    <row r="17" spans="2:6" ht="15.75">
      <c r="B17" s="6" t="str">
        <f>"           Storm sewer   "&amp;REPT(".  ",255)</f>
        <v>           Storm sewer 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17" s="38"/>
      <c r="D17" s="38"/>
      <c r="E17" s="102" t="s">
        <v>49</v>
      </c>
      <c r="F17" s="103"/>
    </row>
    <row r="18" spans="2:6" ht="15.75">
      <c r="B18" s="6" t="str">
        <f>"           Refuse and garbage collection   "&amp;REPT(".  ",255)</f>
        <v>           Refuse and garbage collection 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18" s="38"/>
      <c r="D18" s="38"/>
      <c r="E18" s="102" t="s">
        <v>50</v>
      </c>
      <c r="F18" s="103"/>
    </row>
    <row r="19" spans="2:6" ht="15.75">
      <c r="B19" s="6" t="str">
        <f>"           Solid waste disposal (Inc. recycling)   "&amp;REPT(".  ",255)</f>
        <v>           Solid waste disposal (Inc. recycling) 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19" s="38"/>
      <c r="D19" s="38"/>
      <c r="E19" s="102" t="s">
        <v>51</v>
      </c>
      <c r="F19" s="103"/>
    </row>
    <row r="20" spans="2:6" ht="15.75">
      <c r="B20" s="6" t="str">
        <f>"           Other interest and fiscal charges   "&amp;REPT(".  ",255)</f>
        <v>           Other interest and fiscal charges 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20" s="38"/>
      <c r="D20" s="38"/>
      <c r="E20" s="102" t="s">
        <v>52</v>
      </c>
      <c r="F20" s="103"/>
    </row>
    <row r="21" spans="2:6" ht="15.75">
      <c r="B21" s="6"/>
      <c r="C21" s="38"/>
      <c r="D21" s="38"/>
      <c r="E21" s="104"/>
      <c r="F21" s="118"/>
    </row>
    <row r="22" spans="2:6" ht="16.5" thickBot="1">
      <c r="B22" s="8" t="str">
        <f>"TOTAL DEBT SERVICE   "&amp;REPT(".  ",255)</f>
        <v>TOTAL DEBT SERVICE 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22" s="37"/>
      <c r="D22" s="37"/>
      <c r="E22" s="110" t="s">
        <v>53</v>
      </c>
      <c r="F22" s="111"/>
    </row>
    <row r="23" spans="2:6" ht="15.75">
      <c r="B23" s="6"/>
      <c r="C23" s="38"/>
      <c r="D23" s="38"/>
      <c r="E23" s="76"/>
      <c r="F23" s="121"/>
    </row>
    <row r="24" spans="2:6" ht="15.75">
      <c r="B24" s="8" t="s">
        <v>54</v>
      </c>
      <c r="C24" s="37"/>
      <c r="D24" s="37"/>
      <c r="E24" s="76" t="s">
        <v>55</v>
      </c>
      <c r="F24" s="121"/>
    </row>
    <row r="25" spans="2:6" ht="15.75">
      <c r="B25" s="6" t="str">
        <f>"    Transfer to other funds (i.e. proprietary fund types)   "&amp;REPT(".  ",255)</f>
        <v>    Transfer to other funds (i.e. proprietary fund types) 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25" s="38"/>
      <c r="D25" s="38"/>
      <c r="E25" s="100" t="s">
        <v>56</v>
      </c>
      <c r="F25" s="101"/>
    </row>
    <row r="26" spans="2:6" ht="15.75">
      <c r="B26" s="6" t="str">
        <f>"    Payment to refunding bond escrow agent   "&amp;REPT(".  ",255)</f>
        <v>    Payment to refunding bond escrow agent 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26" s="38"/>
      <c r="D26" s="38"/>
      <c r="E26" s="102" t="s">
        <v>57</v>
      </c>
      <c r="F26" s="103"/>
    </row>
    <row r="27" spans="2:6" ht="15.75">
      <c r="B27" s="6" t="s">
        <v>58</v>
      </c>
      <c r="C27" s="38"/>
      <c r="D27" s="38"/>
      <c r="E27" s="104" t="s">
        <v>412</v>
      </c>
      <c r="F27" s="118"/>
    </row>
    <row r="28" spans="2:6" ht="15.75">
      <c r="B28" s="6" t="str">
        <f>"       account 070-59800 on page 1)   "&amp;REPT(".  ",255)</f>
        <v>       account 070-59800 on page 1) 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28" s="38"/>
      <c r="D28" s="38"/>
      <c r="E28" s="100" t="s">
        <v>59</v>
      </c>
      <c r="F28" s="106"/>
    </row>
    <row r="29" spans="2:6" ht="15.75">
      <c r="B29" s="6" t="s">
        <v>60</v>
      </c>
      <c r="C29" s="38"/>
      <c r="D29" s="38"/>
      <c r="E29" s="104"/>
      <c r="F29" s="118"/>
    </row>
    <row r="30" spans="2:6" ht="15.75">
      <c r="B30" s="21" t="s">
        <v>100</v>
      </c>
      <c r="C30" s="36"/>
      <c r="D30" s="40" t="s">
        <v>132</v>
      </c>
      <c r="E30" s="100" t="s">
        <v>61</v>
      </c>
      <c r="F30" s="106"/>
    </row>
    <row r="31" spans="2:6" ht="15.75">
      <c r="B31" s="6"/>
      <c r="C31" s="38"/>
      <c r="D31" s="38"/>
      <c r="E31" s="104"/>
      <c r="F31" s="118"/>
    </row>
    <row r="32" spans="2:6" ht="16.5" thickBot="1">
      <c r="B32" s="8" t="str">
        <f>"TOTAL OTHER FINANCING USES   "&amp;REPT(".  ",255)</f>
        <v>TOTAL OTHER FINANCING USES 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32" s="37"/>
      <c r="D32" s="37"/>
      <c r="E32" s="100" t="s">
        <v>62</v>
      </c>
      <c r="F32" s="111"/>
    </row>
    <row r="33" spans="2:6" ht="15.75">
      <c r="B33" s="6"/>
      <c r="C33" s="38"/>
      <c r="D33" s="38"/>
      <c r="E33" s="76"/>
      <c r="F33" s="121"/>
    </row>
    <row r="34" spans="2:6" ht="15.75">
      <c r="B34" s="8" t="s">
        <v>63</v>
      </c>
      <c r="C34" s="37"/>
      <c r="D34" s="37"/>
      <c r="E34" s="76"/>
      <c r="F34" s="99"/>
    </row>
    <row r="35" spans="2:6" ht="16.5" thickBot="1">
      <c r="B35" s="8" t="str">
        <f>"  (Sum of pages 7 through 10)   "&amp;REPT(".  ",255)</f>
        <v>  (Sum of pages 7 through 10) 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35" s="37"/>
      <c r="D35" s="37"/>
      <c r="E35" s="113" t="s">
        <v>64</v>
      </c>
      <c r="F35" s="136"/>
    </row>
    <row r="36" spans="2:6" ht="15.75">
      <c r="B36" s="6"/>
      <c r="C36" s="38"/>
      <c r="D36" s="38"/>
      <c r="E36" s="137"/>
      <c r="F36" s="121"/>
    </row>
    <row r="37" spans="2:6" ht="15.75">
      <c r="B37" s="6"/>
      <c r="C37" s="38"/>
      <c r="D37" s="38"/>
      <c r="E37" s="137"/>
      <c r="F37" s="121"/>
    </row>
    <row r="38" spans="2:6" ht="15.75">
      <c r="B38" s="6"/>
      <c r="C38" s="38"/>
      <c r="D38" s="38"/>
      <c r="E38" s="39"/>
      <c r="F38" s="121"/>
    </row>
    <row r="39" spans="2:6" ht="15.75">
      <c r="B39" s="6"/>
      <c r="C39" s="38"/>
      <c r="D39" s="38"/>
      <c r="E39" s="39"/>
      <c r="F39" s="121"/>
    </row>
    <row r="40" spans="2:6" ht="15.75">
      <c r="B40" s="6"/>
      <c r="C40" s="38"/>
      <c r="D40" s="38"/>
      <c r="E40" s="39"/>
      <c r="F40" s="121"/>
    </row>
    <row r="41" spans="2:6" ht="15.75">
      <c r="B41" s="6"/>
      <c r="C41" s="38"/>
      <c r="D41" s="38"/>
      <c r="E41" s="39"/>
      <c r="F41" s="121"/>
    </row>
    <row r="42" spans="2:6" ht="15.75">
      <c r="B42" s="6"/>
      <c r="C42" s="38"/>
      <c r="D42" s="38"/>
      <c r="E42" s="39"/>
      <c r="F42" s="121"/>
    </row>
    <row r="43" spans="2:6" ht="15.75">
      <c r="B43" s="6"/>
      <c r="C43" s="38"/>
      <c r="D43" s="38"/>
      <c r="E43" s="39"/>
      <c r="F43" s="121"/>
    </row>
    <row r="44" spans="2:6" ht="15.75">
      <c r="B44" s="6"/>
      <c r="C44" s="38"/>
      <c r="D44" s="38"/>
      <c r="E44" s="39"/>
      <c r="F44" s="121"/>
    </row>
    <row r="45" spans="2:6" ht="15.75">
      <c r="B45" s="6"/>
      <c r="C45" s="38"/>
      <c r="D45" s="38"/>
      <c r="E45" s="39"/>
      <c r="F45" s="121"/>
    </row>
    <row r="46" spans="2:6" ht="15.75">
      <c r="B46" s="6"/>
      <c r="C46" s="38"/>
      <c r="D46" s="38"/>
      <c r="E46" s="39"/>
      <c r="F46" s="121"/>
    </row>
    <row r="47" spans="2:6" ht="15.75">
      <c r="B47" s="6"/>
      <c r="C47" s="38"/>
      <c r="D47" s="38"/>
      <c r="E47" s="39"/>
      <c r="F47" s="121"/>
    </row>
    <row r="48" spans="2:6" ht="15.75">
      <c r="B48" s="6"/>
      <c r="C48" s="38"/>
      <c r="D48" s="38"/>
      <c r="E48" s="39"/>
      <c r="F48" s="121"/>
    </row>
    <row r="49" spans="2:6" ht="15.75">
      <c r="B49" s="6"/>
      <c r="C49" s="38"/>
      <c r="D49" s="38"/>
      <c r="E49" s="39"/>
      <c r="F49" s="121"/>
    </row>
    <row r="50" spans="2:6" ht="15.75">
      <c r="B50" s="6"/>
      <c r="C50" s="38"/>
      <c r="D50" s="38"/>
      <c r="E50" s="39"/>
      <c r="F50" s="121"/>
    </row>
    <row r="51" spans="2:6" ht="15.75">
      <c r="B51" s="6"/>
      <c r="C51" s="38"/>
      <c r="D51" s="38"/>
      <c r="E51" s="39"/>
      <c r="F51" s="121"/>
    </row>
    <row r="52" spans="2:6" ht="15.75">
      <c r="B52" s="6"/>
      <c r="C52" s="38"/>
      <c r="D52" s="38"/>
      <c r="E52" s="39"/>
      <c r="F52" s="121"/>
    </row>
    <row r="53" spans="2:6" ht="15.75">
      <c r="B53" s="6"/>
      <c r="C53" s="38"/>
      <c r="D53" s="38"/>
      <c r="E53" s="39"/>
      <c r="F53" s="121"/>
    </row>
    <row r="54" spans="2:6" ht="15.75">
      <c r="B54" s="6"/>
      <c r="C54" s="38"/>
      <c r="D54" s="38"/>
      <c r="E54" s="39"/>
      <c r="F54" s="121"/>
    </row>
    <row r="55" spans="2:6" ht="15.75">
      <c r="B55" s="6"/>
      <c r="C55" s="38"/>
      <c r="D55" s="38"/>
      <c r="E55" s="39"/>
      <c r="F55" s="121"/>
    </row>
    <row r="56" spans="2:6" ht="15.75">
      <c r="B56" s="6"/>
      <c r="C56" s="38"/>
      <c r="D56" s="38"/>
      <c r="E56" s="39"/>
      <c r="F56" s="121"/>
    </row>
    <row r="57" spans="2:6" ht="15.75">
      <c r="B57" s="6"/>
      <c r="C57" s="38"/>
      <c r="D57" s="38"/>
      <c r="E57" s="39"/>
      <c r="F57" s="121"/>
    </row>
    <row r="58" spans="2:6" ht="15.75">
      <c r="B58" s="6"/>
      <c r="C58" s="38"/>
      <c r="D58" s="38"/>
      <c r="E58" s="39"/>
      <c r="F58" s="121"/>
    </row>
    <row r="59" spans="2:6" ht="15.75">
      <c r="B59" s="6"/>
      <c r="C59" s="38"/>
      <c r="D59" s="38"/>
      <c r="E59" s="39"/>
      <c r="F59" s="121"/>
    </row>
    <row r="60" spans="2:6" ht="15.75">
      <c r="B60" s="6"/>
      <c r="C60" s="38"/>
      <c r="D60" s="38"/>
      <c r="E60" s="39"/>
      <c r="F60" s="121"/>
    </row>
    <row r="61" spans="2:6" ht="15.75">
      <c r="B61" s="6"/>
      <c r="C61" s="38"/>
      <c r="D61" s="38"/>
      <c r="E61" s="39"/>
      <c r="F61" s="121"/>
    </row>
    <row r="62" spans="2:6" ht="15.75">
      <c r="B62" s="6"/>
      <c r="C62" s="38"/>
      <c r="D62" s="38"/>
      <c r="E62" s="39"/>
      <c r="F62" s="121"/>
    </row>
    <row r="63" spans="2:6" ht="15.75">
      <c r="B63" s="6"/>
      <c r="C63" s="38"/>
      <c r="D63" s="38"/>
      <c r="E63" s="39"/>
      <c r="F63" s="121"/>
    </row>
    <row r="64" spans="2:6" ht="15.75">
      <c r="B64" s="6"/>
      <c r="C64" s="38"/>
      <c r="D64" s="38"/>
      <c r="E64" s="38"/>
      <c r="F64" s="121"/>
    </row>
    <row r="65" spans="2:6" ht="16.5" thickBot="1">
      <c r="B65" s="25"/>
      <c r="C65" s="88"/>
      <c r="D65" s="88"/>
      <c r="E65" s="88"/>
      <c r="F65" s="114"/>
    </row>
    <row r="66" ht="13.5" thickTop="1"/>
  </sheetData>
  <printOptions/>
  <pageMargins left="0.75" right="0.75" top="1" bottom="1" header="0.5" footer="0.5"/>
  <pageSetup orientation="portrait" paperSize="9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B1:F65"/>
  <sheetViews>
    <sheetView workbookViewId="0" topLeftCell="A1">
      <selection activeCell="H66" sqref="H66"/>
    </sheetView>
  </sheetViews>
  <sheetFormatPr defaultColWidth="9.140625" defaultRowHeight="12.75"/>
  <cols>
    <col min="2" max="2" width="70.421875" style="0" customWidth="1"/>
    <col min="3" max="3" width="9.140625" style="42" customWidth="1"/>
    <col min="4" max="4" width="11.7109375" style="42" bestFit="1" customWidth="1"/>
    <col min="5" max="5" width="13.8515625" style="42" bestFit="1" customWidth="1"/>
    <col min="6" max="6" width="19.28125" style="42" bestFit="1" customWidth="1"/>
  </cols>
  <sheetData>
    <row r="1" ht="15">
      <c r="B1" s="12" t="s">
        <v>65</v>
      </c>
    </row>
    <row r="2" ht="13.5" thickBot="1"/>
    <row r="3" spans="2:6" ht="17.25" thickBot="1" thickTop="1">
      <c r="B3" s="23" t="s">
        <v>216</v>
      </c>
      <c r="C3" s="59"/>
      <c r="D3" s="59"/>
      <c r="E3" s="138"/>
      <c r="F3" s="91"/>
    </row>
    <row r="4" spans="2:6" ht="16.5" thickTop="1">
      <c r="B4" s="23" t="str">
        <f>+'[1]Main'!$C$13&amp;+" SCHEDULE OF REVENUES AND EXPENDITURES"</f>
        <v>2004 SCHEDULE OF REVENUES AND EXPENDITURES</v>
      </c>
      <c r="C4" s="59"/>
      <c r="D4" s="59"/>
      <c r="E4" s="138"/>
      <c r="F4" s="122"/>
    </row>
    <row r="5" spans="2:6" ht="16.5" thickBot="1">
      <c r="B5" s="2" t="s">
        <v>217</v>
      </c>
      <c r="C5" s="63"/>
      <c r="D5" s="63"/>
      <c r="E5" s="139"/>
      <c r="F5" s="125">
        <f>+'[1]Main'!$C$13</f>
        <v>2004</v>
      </c>
    </row>
    <row r="6" spans="2:6" ht="16.5" thickTop="1">
      <c r="B6" s="1"/>
      <c r="C6" s="64"/>
      <c r="D6" s="64"/>
      <c r="E6" s="123"/>
      <c r="F6" s="62"/>
    </row>
    <row r="7" spans="2:6" ht="15.75">
      <c r="B7" s="2" t="s">
        <v>104</v>
      </c>
      <c r="C7" s="63"/>
      <c r="D7" s="63"/>
      <c r="E7" s="95" t="s">
        <v>105</v>
      </c>
      <c r="F7" s="67" t="s">
        <v>106</v>
      </c>
    </row>
    <row r="8" spans="2:6" ht="16.5" thickBot="1">
      <c r="B8" s="8"/>
      <c r="C8" s="37"/>
      <c r="D8" s="37"/>
      <c r="E8" s="95" t="s">
        <v>107</v>
      </c>
      <c r="F8" s="67" t="s">
        <v>108</v>
      </c>
    </row>
    <row r="9" spans="2:6" ht="16.5" thickTop="1">
      <c r="B9" s="16"/>
      <c r="C9" s="117"/>
      <c r="D9" s="117"/>
      <c r="E9" s="97"/>
      <c r="F9" s="94"/>
    </row>
    <row r="10" spans="2:6" ht="15.75">
      <c r="B10" s="2" t="s">
        <v>66</v>
      </c>
      <c r="C10" s="63"/>
      <c r="D10" s="63"/>
      <c r="E10" s="98"/>
      <c r="F10" s="99"/>
    </row>
    <row r="11" spans="2:6" ht="15.75">
      <c r="B11" s="2" t="s">
        <v>67</v>
      </c>
      <c r="C11" s="63"/>
      <c r="D11" s="63"/>
      <c r="E11" s="98"/>
      <c r="F11" s="99"/>
    </row>
    <row r="12" spans="2:6" ht="15.75">
      <c r="B12" s="2" t="s">
        <v>68</v>
      </c>
      <c r="C12" s="63"/>
      <c r="D12" s="63"/>
      <c r="E12" s="98"/>
      <c r="F12" s="99"/>
    </row>
    <row r="13" spans="2:6" ht="15.75">
      <c r="B13" s="6"/>
      <c r="C13" s="38"/>
      <c r="D13" s="38"/>
      <c r="E13" s="98"/>
      <c r="F13" s="99"/>
    </row>
    <row r="14" spans="2:6" ht="15.75">
      <c r="B14" s="6" t="str">
        <f>+"    Cash and securities (investments) at beginning of year   "&amp;REPT(".  ",255)</f>
        <v>    Cash and securities (investments) at beginning of year 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14" s="38"/>
      <c r="D14" s="38"/>
      <c r="E14" s="100" t="s">
        <v>69</v>
      </c>
      <c r="F14" s="101"/>
    </row>
    <row r="15" spans="2:6" ht="15.75">
      <c r="B15" s="6"/>
      <c r="C15" s="38"/>
      <c r="D15" s="38"/>
      <c r="E15" s="104"/>
      <c r="F15" s="118"/>
    </row>
    <row r="16" spans="2:6" ht="15.75">
      <c r="B16" s="6" t="str">
        <f>+"    Temporary (one year or less) loans incurred during year   "&amp;REPT(".  ",255)</f>
        <v>    Temporary (one year or less) loans incurred during year 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16" s="38"/>
      <c r="D16" s="38"/>
      <c r="E16" s="100" t="s">
        <v>70</v>
      </c>
      <c r="F16" s="106"/>
    </row>
    <row r="17" spans="2:6" ht="15.75">
      <c r="B17" s="6" t="s">
        <v>71</v>
      </c>
      <c r="C17" s="38"/>
      <c r="D17" s="38"/>
      <c r="E17" s="104"/>
      <c r="F17" s="118"/>
    </row>
    <row r="18" spans="2:6" ht="15.75">
      <c r="B18" s="6" t="str">
        <f>+"        (Account 117-40000 from page 6)   "&amp;REPT(".  ",255)</f>
        <v>        (Account 117-40000 from page 6) 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18" s="38"/>
      <c r="D18" s="38"/>
      <c r="E18" s="100" t="s">
        <v>72</v>
      </c>
      <c r="F18" s="140"/>
    </row>
    <row r="19" spans="2:6" ht="15.75">
      <c r="B19" s="6" t="s">
        <v>73</v>
      </c>
      <c r="C19" s="38"/>
      <c r="D19" s="38"/>
      <c r="E19" s="104"/>
      <c r="F19" s="141"/>
    </row>
    <row r="20" spans="2:6" ht="15.75">
      <c r="B20" s="21"/>
      <c r="C20" s="36"/>
      <c r="D20" s="40" t="s">
        <v>132</v>
      </c>
      <c r="E20" s="100" t="s">
        <v>74</v>
      </c>
      <c r="F20" s="142"/>
    </row>
    <row r="21" spans="2:6" ht="15.75">
      <c r="B21" s="6" t="s">
        <v>75</v>
      </c>
      <c r="C21" s="38"/>
      <c r="D21" s="38"/>
      <c r="E21" s="104"/>
      <c r="F21" s="141"/>
    </row>
    <row r="22" spans="2:6" ht="15.75">
      <c r="B22" s="6" t="str">
        <f>+"      (Must be included here if in account 150-11000 below)   "&amp;REPT(".  ",255)</f>
        <v>      (Must be included here if in account 150-11000 below) 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22" s="38"/>
      <c r="D22" s="38"/>
      <c r="E22" s="100" t="s">
        <v>76</v>
      </c>
      <c r="F22" s="142"/>
    </row>
    <row r="23" spans="2:6" ht="15.75">
      <c r="B23" s="6"/>
      <c r="C23" s="38"/>
      <c r="D23" s="38"/>
      <c r="E23" s="104"/>
      <c r="F23" s="141"/>
    </row>
    <row r="24" spans="2:6" ht="15.75">
      <c r="B24" s="6" t="str">
        <f>+"    Payroll deductions payable at end of year (If in acct. 150-50000)   "&amp;REPT(".  ",255)</f>
        <v>    Payroll deductions payable at end of year (If in acct. 150-50000) 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24" s="38"/>
      <c r="D24" s="38"/>
      <c r="E24" s="100" t="s">
        <v>77</v>
      </c>
      <c r="F24" s="142"/>
    </row>
    <row r="25" spans="2:6" ht="15.75">
      <c r="B25" s="6"/>
      <c r="C25" s="38"/>
      <c r="D25" s="38"/>
      <c r="E25" s="104"/>
      <c r="F25" s="141"/>
    </row>
    <row r="26" spans="2:6" ht="16.5" thickBot="1">
      <c r="B26" s="8" t="str">
        <f>+"GRAND TOTAL (MUST EQUAL CODE 153-90000 BELOW)   "&amp;REPT(".  ",255)</f>
        <v>GRAND TOTAL (MUST EQUAL CODE 153-90000 BELOW) 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26" s="37"/>
      <c r="D26" s="37"/>
      <c r="E26" s="110" t="s">
        <v>78</v>
      </c>
      <c r="F26" s="143"/>
    </row>
    <row r="27" spans="2:6" ht="15.75">
      <c r="B27" s="6"/>
      <c r="C27" s="38"/>
      <c r="D27" s="38"/>
      <c r="E27" s="107"/>
      <c r="F27" s="144"/>
    </row>
    <row r="28" spans="2:6" ht="15.75">
      <c r="B28" s="6"/>
      <c r="C28" s="38"/>
      <c r="D28" s="38"/>
      <c r="E28" s="107"/>
      <c r="F28" s="144"/>
    </row>
    <row r="29" spans="2:6" ht="15.75">
      <c r="B29" s="6" t="str">
        <f>+"    Cash and securities (investments) end of year   "&amp;REPT(".  ",255)</f>
        <v>    Cash and securities (investments) end of year 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29" s="38"/>
      <c r="D29" s="38"/>
      <c r="E29" s="100" t="s">
        <v>79</v>
      </c>
      <c r="F29" s="145"/>
    </row>
    <row r="30" spans="2:6" ht="15.75">
      <c r="B30" s="6"/>
      <c r="C30" s="38"/>
      <c r="D30" s="38"/>
      <c r="E30" s="104"/>
      <c r="F30" s="141"/>
    </row>
    <row r="31" spans="2:6" ht="15.75">
      <c r="B31" s="6" t="str">
        <f>+"    Temporary (one year or less) Loans paid during year   "&amp;REPT(".  ",255)</f>
        <v>    Temporary (one year or less) Loans paid during year 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31" s="38"/>
      <c r="D31" s="38"/>
      <c r="E31" s="100" t="s">
        <v>80</v>
      </c>
      <c r="F31" s="142"/>
    </row>
    <row r="32" spans="2:6" ht="15.75">
      <c r="B32" s="6" t="s">
        <v>81</v>
      </c>
      <c r="C32" s="38"/>
      <c r="D32" s="38"/>
      <c r="E32" s="104"/>
      <c r="F32" s="141"/>
    </row>
    <row r="33" spans="2:6" ht="15.75">
      <c r="B33" s="6" t="str">
        <f>+"      (Account 136-50000 from page 10)   "&amp;REPT(".  ",255)</f>
        <v>      (Account 136-50000 from page 10) 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33" s="38"/>
      <c r="D33" s="38"/>
      <c r="E33" s="100" t="s">
        <v>82</v>
      </c>
      <c r="F33" s="140"/>
    </row>
    <row r="34" spans="2:6" ht="15.75">
      <c r="B34" s="6" t="s">
        <v>83</v>
      </c>
      <c r="C34" s="38"/>
      <c r="D34" s="38"/>
      <c r="E34" s="104"/>
      <c r="F34" s="141"/>
    </row>
    <row r="35" spans="2:6" ht="15.75">
      <c r="B35" s="21"/>
      <c r="C35" s="36"/>
      <c r="D35" s="40" t="s">
        <v>132</v>
      </c>
      <c r="E35" s="100" t="s">
        <v>84</v>
      </c>
      <c r="F35" s="142"/>
    </row>
    <row r="36" spans="2:6" ht="15.75">
      <c r="B36" s="6" t="s">
        <v>85</v>
      </c>
      <c r="C36" s="38"/>
      <c r="D36" s="38"/>
      <c r="E36" s="104"/>
      <c r="F36" s="141"/>
    </row>
    <row r="37" spans="2:6" ht="15.75">
      <c r="B37" s="6" t="str">
        <f>+"      (Must be included here if in account 140-11000 below)   "&amp;REPT(".  ",255)</f>
        <v>      (Must be included here if in account 140-11000 below) 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37" s="38"/>
      <c r="D37" s="38"/>
      <c r="E37" s="100" t="s">
        <v>86</v>
      </c>
      <c r="F37" s="142"/>
    </row>
    <row r="38" spans="2:6" ht="15.75">
      <c r="B38" s="6" t="s">
        <v>87</v>
      </c>
      <c r="C38" s="38"/>
      <c r="D38" s="38"/>
      <c r="E38" s="107"/>
      <c r="F38" s="144"/>
    </row>
    <row r="39" spans="2:6" ht="15.75">
      <c r="B39" s="6" t="str">
        <f>+"      (Include here if shown as prior year expenditures)   "&amp;REPT(".  ",255)</f>
        <v>      (Include here if shown as prior year expenditures) 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39" s="38"/>
      <c r="D39" s="38"/>
      <c r="E39" s="100" t="s">
        <v>88</v>
      </c>
      <c r="F39" s="142"/>
    </row>
    <row r="40" spans="2:6" ht="15.75">
      <c r="B40" s="6"/>
      <c r="C40" s="38"/>
      <c r="D40" s="38"/>
      <c r="E40" s="104"/>
      <c r="F40" s="141"/>
    </row>
    <row r="41" spans="2:6" ht="16.5" thickBot="1">
      <c r="B41" s="8" t="str">
        <f>+"GRAND TOTAL (MUST EQUAL CODE 143-90000 ABOVE)   "&amp;REPT(".  ",255)</f>
        <v>GRAND TOTAL (MUST EQUAL CODE 143-90000 ABOVE) 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41" s="37"/>
      <c r="D41" s="37"/>
      <c r="E41" s="110" t="s">
        <v>89</v>
      </c>
      <c r="F41" s="143"/>
    </row>
    <row r="42" spans="2:6" ht="16.5" thickBot="1">
      <c r="B42" s="6"/>
      <c r="C42" s="38"/>
      <c r="D42" s="38"/>
      <c r="E42" s="146"/>
      <c r="F42" s="57"/>
    </row>
    <row r="43" spans="2:6" ht="16.5" thickTop="1">
      <c r="B43" s="16"/>
      <c r="C43" s="117"/>
      <c r="D43" s="117"/>
      <c r="E43" s="126"/>
      <c r="F43" s="147"/>
    </row>
    <row r="44" spans="2:6" ht="15.75">
      <c r="B44" s="2" t="s">
        <v>90</v>
      </c>
      <c r="C44" s="63"/>
      <c r="D44" s="63"/>
      <c r="E44" s="148"/>
      <c r="F44" s="149"/>
    </row>
    <row r="45" spans="2:6" ht="16.5" thickBot="1">
      <c r="B45" s="25"/>
      <c r="C45" s="88"/>
      <c r="D45" s="88"/>
      <c r="E45" s="150"/>
      <c r="F45" s="151"/>
    </row>
    <row r="46" spans="2:6" ht="16.5" thickTop="1">
      <c r="B46" s="5"/>
      <c r="C46" s="71"/>
      <c r="D46" s="71"/>
      <c r="E46" s="104"/>
      <c r="F46" s="141"/>
    </row>
    <row r="47" spans="2:6" ht="15.75">
      <c r="B47" s="2" t="s">
        <v>91</v>
      </c>
      <c r="C47" s="63"/>
      <c r="D47" s="63"/>
      <c r="E47" s="107"/>
      <c r="F47" s="144"/>
    </row>
    <row r="48" spans="2:6" ht="15.75">
      <c r="B48" s="2" t="s">
        <v>67</v>
      </c>
      <c r="C48" s="63"/>
      <c r="D48" s="63"/>
      <c r="E48" s="107"/>
      <c r="F48" s="144"/>
    </row>
    <row r="49" spans="2:6" ht="15.75">
      <c r="B49" s="2" t="s">
        <v>92</v>
      </c>
      <c r="C49" s="63"/>
      <c r="D49" s="63"/>
      <c r="E49" s="107"/>
      <c r="F49" s="144"/>
    </row>
    <row r="50" spans="2:6" ht="15.75">
      <c r="B50" s="6"/>
      <c r="C50" s="38"/>
      <c r="D50" s="38"/>
      <c r="E50" s="107"/>
      <c r="F50" s="144"/>
    </row>
    <row r="51" spans="2:6" ht="15.75">
      <c r="B51" s="6" t="str">
        <f>+"    Fund balance at beginning of year   "&amp;REPT(".  ",255)</f>
        <v>    Fund balance at beginning of year 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51" s="38"/>
      <c r="D51" s="38"/>
      <c r="E51" s="100" t="s">
        <v>93</v>
      </c>
      <c r="F51" s="145"/>
    </row>
    <row r="52" spans="2:6" ht="15.75">
      <c r="B52" s="6" t="s">
        <v>71</v>
      </c>
      <c r="C52" s="38"/>
      <c r="D52" s="38"/>
      <c r="E52" s="104"/>
      <c r="F52" s="141"/>
    </row>
    <row r="53" spans="2:6" ht="15.75">
      <c r="B53" s="6" t="str">
        <f>+"      (Account 117-40000 on page 6)   "&amp;REPT(".  ",255)</f>
        <v>      (Account 117-40000 on page 6) 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53" s="38"/>
      <c r="D53" s="38"/>
      <c r="E53" s="100" t="s">
        <v>72</v>
      </c>
      <c r="F53" s="140"/>
    </row>
    <row r="54" spans="2:6" ht="15.75">
      <c r="B54" s="6"/>
      <c r="C54" s="38"/>
      <c r="D54" s="38"/>
      <c r="E54" s="104"/>
      <c r="F54" s="141"/>
    </row>
    <row r="55" spans="2:6" ht="15.75">
      <c r="B55" s="6" t="str">
        <f>+"    Adjustments to fund balance (Explain major items)   "&amp;REPT(".  ",255)</f>
        <v>    Adjustments to fund balance (Explain major items) 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55" s="38"/>
      <c r="D55" s="38"/>
      <c r="E55" s="100" t="s">
        <v>94</v>
      </c>
      <c r="F55" s="142"/>
    </row>
    <row r="56" spans="2:6" ht="15.75">
      <c r="B56" s="6"/>
      <c r="C56" s="38"/>
      <c r="D56" s="38"/>
      <c r="E56" s="104"/>
      <c r="F56" s="141"/>
    </row>
    <row r="57" spans="2:6" ht="16.5" thickBot="1">
      <c r="B57" s="8" t="str">
        <f>+"GRAND TOTAL (MUST EQUAL CODE 153-90000 BELOW)   "&amp;REPT(".  ",255)</f>
        <v>GRAND TOTAL (MUST EQUAL CODE 153-90000 BELOW) 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57" s="37"/>
      <c r="D57" s="37"/>
      <c r="E57" s="110" t="s">
        <v>78</v>
      </c>
      <c r="F57" s="143"/>
    </row>
    <row r="58" spans="2:6" ht="15.75">
      <c r="B58" s="6"/>
      <c r="C58" s="38"/>
      <c r="D58" s="38"/>
      <c r="E58" s="107"/>
      <c r="F58" s="144"/>
    </row>
    <row r="59" spans="2:6" ht="15.75">
      <c r="B59" s="6" t="s">
        <v>81</v>
      </c>
      <c r="C59" s="38"/>
      <c r="D59" s="38"/>
      <c r="E59" s="107"/>
      <c r="F59" s="144"/>
    </row>
    <row r="60" spans="2:6" ht="15.75">
      <c r="B60" s="6" t="str">
        <f>+"      (Account 136-50000 on page 10)   "&amp;REPT(".  ",255)</f>
        <v>      (Account 136-50000 on page 10) 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60" s="38"/>
      <c r="D60" s="38"/>
      <c r="E60" s="100" t="s">
        <v>82</v>
      </c>
      <c r="F60" s="152"/>
    </row>
    <row r="61" spans="2:6" ht="15.75">
      <c r="B61" s="6"/>
      <c r="C61" s="38"/>
      <c r="D61" s="38"/>
      <c r="E61" s="104"/>
      <c r="F61" s="141"/>
    </row>
    <row r="62" spans="2:6" ht="15.75">
      <c r="B62" s="6" t="str">
        <f>+"    Fund balance at end of year   "&amp;REPT(".  ",255)</f>
        <v>    Fund balance at end of year 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62" s="38"/>
      <c r="D62" s="38"/>
      <c r="E62" s="100" t="s">
        <v>95</v>
      </c>
      <c r="F62" s="142"/>
    </row>
    <row r="63" spans="2:6" ht="15.75">
      <c r="B63" s="6"/>
      <c r="C63" s="38"/>
      <c r="D63" s="38"/>
      <c r="E63" s="104"/>
      <c r="F63" s="141"/>
    </row>
    <row r="64" spans="2:6" ht="16.5" thickBot="1">
      <c r="B64" s="8" t="str">
        <f>+"GRAND TOTAL (MUST EQUAL CODE 143-90000 ABOVE)   "&amp;REPT(".  ",255)</f>
        <v>GRAND TOTAL (MUST EQUAL CODE 143-90000 ABOVE) 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64" s="37"/>
      <c r="D64" s="37"/>
      <c r="E64" s="110" t="s">
        <v>89</v>
      </c>
      <c r="F64" s="143"/>
    </row>
    <row r="65" spans="2:6" ht="16.5" thickBot="1">
      <c r="B65" s="25"/>
      <c r="C65" s="88"/>
      <c r="D65" s="88"/>
      <c r="E65" s="153"/>
      <c r="F65" s="154"/>
    </row>
    <row r="66" ht="13.5" thickTop="1"/>
  </sheetData>
  <printOptions/>
  <pageMargins left="0.75" right="0.75" top="1" bottom="1" header="0.5" footer="0.5"/>
  <pageSetup orientation="portrait" paperSize="9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7" sqref="E7"/>
    </sheetView>
  </sheetViews>
  <sheetFormatPr defaultColWidth="9.140625" defaultRowHeight="12.75"/>
  <cols>
    <col min="2" max="3" width="9.140625" style="0" customWidth="1"/>
  </cols>
  <sheetData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28" sqref="J2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G69"/>
  <sheetViews>
    <sheetView workbookViewId="0" topLeftCell="A1">
      <selection activeCell="G17" sqref="G17"/>
    </sheetView>
  </sheetViews>
  <sheetFormatPr defaultColWidth="9.140625" defaultRowHeight="12.75"/>
  <cols>
    <col min="2" max="2" width="54.140625" style="0" customWidth="1"/>
    <col min="3" max="3" width="9.140625" style="42" customWidth="1"/>
    <col min="4" max="4" width="9.7109375" style="42" bestFit="1" customWidth="1"/>
    <col min="5" max="5" width="11.7109375" style="42" bestFit="1" customWidth="1"/>
    <col min="6" max="6" width="14.421875" style="42" bestFit="1" customWidth="1"/>
    <col min="7" max="7" width="19.28125" style="42" bestFit="1" customWidth="1"/>
  </cols>
  <sheetData>
    <row r="1" ht="15">
      <c r="B1" s="22" t="s">
        <v>264</v>
      </c>
    </row>
    <row r="2" ht="13.5" thickBot="1"/>
    <row r="3" spans="2:7" ht="17.25" thickBot="1" thickTop="1">
      <c r="B3" s="23" t="s">
        <v>216</v>
      </c>
      <c r="C3" s="59"/>
      <c r="D3" s="59"/>
      <c r="E3" s="59"/>
      <c r="F3" s="59"/>
      <c r="G3" s="60"/>
    </row>
    <row r="4" spans="2:7" ht="16.5" thickTop="1">
      <c r="B4" s="23" t="str">
        <f>+'[1]Main'!$C$13&amp;+" SCHEDULE OF REVENUES AND EXPENDITURES"</f>
        <v>2004 SCHEDULE OF REVENUES AND EXPENDITURES</v>
      </c>
      <c r="C4" s="59"/>
      <c r="D4" s="59"/>
      <c r="E4" s="59"/>
      <c r="F4" s="61"/>
      <c r="G4" s="62"/>
    </row>
    <row r="5" spans="2:7" ht="16.5" thickBot="1">
      <c r="B5" s="2" t="s">
        <v>217</v>
      </c>
      <c r="C5" s="63"/>
      <c r="D5" s="63"/>
      <c r="E5" s="63"/>
      <c r="F5" s="63"/>
      <c r="G5" s="45">
        <f>+'[1]Main'!$C$13</f>
        <v>2004</v>
      </c>
    </row>
    <row r="6" spans="2:7" ht="16.5" thickTop="1">
      <c r="B6" s="1"/>
      <c r="C6" s="64"/>
      <c r="D6" s="64"/>
      <c r="E6" s="64"/>
      <c r="F6" s="65"/>
      <c r="G6" s="62"/>
    </row>
    <row r="7" spans="2:7" ht="15.75">
      <c r="B7" s="2" t="s">
        <v>104</v>
      </c>
      <c r="C7" s="63"/>
      <c r="D7" s="63"/>
      <c r="E7" s="63"/>
      <c r="F7" s="66" t="s">
        <v>105</v>
      </c>
      <c r="G7" s="67" t="s">
        <v>106</v>
      </c>
    </row>
    <row r="8" spans="2:7" ht="16.5" thickBot="1">
      <c r="B8" s="4"/>
      <c r="C8" s="68"/>
      <c r="D8" s="68"/>
      <c r="E8" s="68"/>
      <c r="F8" s="69" t="s">
        <v>107</v>
      </c>
      <c r="G8" s="70" t="s">
        <v>108</v>
      </c>
    </row>
    <row r="9" spans="2:7" ht="15">
      <c r="B9" s="5"/>
      <c r="C9" s="71"/>
      <c r="D9" s="71"/>
      <c r="E9" s="71"/>
      <c r="F9" s="72"/>
      <c r="G9" s="73"/>
    </row>
    <row r="10" spans="2:7" ht="15">
      <c r="B10" s="6" t="s">
        <v>109</v>
      </c>
      <c r="C10" s="38"/>
      <c r="D10" s="38"/>
      <c r="E10" s="38"/>
      <c r="F10" s="74"/>
      <c r="G10" s="75"/>
    </row>
    <row r="11" spans="2:7" ht="15.75">
      <c r="B11" s="2" t="s">
        <v>110</v>
      </c>
      <c r="C11" s="63"/>
      <c r="D11" s="63"/>
      <c r="E11" s="63"/>
      <c r="F11" s="74"/>
      <c r="G11" s="75"/>
    </row>
    <row r="12" spans="2:7" ht="15.75">
      <c r="B12" s="8" t="s">
        <v>111</v>
      </c>
      <c r="C12" s="37"/>
      <c r="D12" s="37"/>
      <c r="E12" s="37"/>
      <c r="F12" s="74"/>
      <c r="G12" s="75"/>
    </row>
    <row r="13" spans="2:7" ht="15.75">
      <c r="B13" s="8" t="s">
        <v>112</v>
      </c>
      <c r="C13" s="37"/>
      <c r="D13" s="37"/>
      <c r="E13" s="37"/>
      <c r="F13" s="74"/>
      <c r="G13" s="75"/>
    </row>
    <row r="14" spans="2:7" ht="15.75">
      <c r="B14" s="6" t="str">
        <f>"       General property taxes (From line 068-41110 on page 1)   "&amp;REPT(".  ",255)</f>
        <v>       General property taxes (From line 068-41110 on page 1) 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14" s="38"/>
      <c r="D14" s="38"/>
      <c r="E14" s="38"/>
      <c r="F14" s="76" t="s">
        <v>113</v>
      </c>
      <c r="G14" s="77"/>
    </row>
    <row r="15" spans="2:7" ht="15.75">
      <c r="B15" s="6" t="str">
        <f>"       Occupational taxes (From line 046-41130 on page 1)  "&amp;REPT(".  ",255)</f>
        <v>       Occupational taxes (From line 046-41130 on page 1)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15" s="38"/>
      <c r="D15" s="38"/>
      <c r="E15" s="38"/>
      <c r="F15" s="78" t="s">
        <v>114</v>
      </c>
      <c r="G15" s="34"/>
    </row>
    <row r="16" spans="2:7" ht="15.75">
      <c r="B16" s="6" t="s">
        <v>115</v>
      </c>
      <c r="C16" s="38"/>
      <c r="D16" s="79"/>
      <c r="E16" s="38"/>
      <c r="F16" s="78" t="s">
        <v>109</v>
      </c>
      <c r="G16" s="57"/>
    </row>
    <row r="17" spans="2:7" ht="15.75">
      <c r="B17" s="6" t="s">
        <v>116</v>
      </c>
      <c r="C17" s="38"/>
      <c r="D17" s="79"/>
      <c r="E17" s="38"/>
      <c r="F17" s="76" t="s">
        <v>109</v>
      </c>
      <c r="G17" s="57"/>
    </row>
    <row r="18" spans="2:7" ht="15.75">
      <c r="B18" s="6" t="str">
        <f>"                  Local share  "&amp;REPT(".  ",255)</f>
        <v>                  Local share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18" s="38"/>
      <c r="D18" s="38"/>
      <c r="E18" s="38"/>
      <c r="F18" s="76" t="s">
        <v>117</v>
      </c>
      <c r="G18" s="80"/>
    </row>
    <row r="19" spans="2:7" ht="15.75">
      <c r="B19" s="6" t="str">
        <f>"       Private forest crop/managed forest land taxes (From line 048-41150)  "&amp;REPT(".  ",255)</f>
        <v>       Private forest crop/managed forest land taxes (From line 048-41150)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19" s="38"/>
      <c r="D19" s="38"/>
      <c r="E19" s="38"/>
      <c r="F19" s="78" t="s">
        <v>118</v>
      </c>
      <c r="G19" s="34"/>
    </row>
    <row r="20" spans="2:7" ht="15.75">
      <c r="B20" s="6" t="str">
        <f>"       Motor vehicle taxes  "&amp;REPT(".  ",255)</f>
        <v>       Motor vehicle taxes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20" s="38"/>
      <c r="D20" s="38"/>
      <c r="E20" s="38"/>
      <c r="F20" s="81" t="s">
        <v>119</v>
      </c>
      <c r="G20" s="34"/>
    </row>
    <row r="21" spans="2:7" ht="15.75">
      <c r="B21" s="8" t="s">
        <v>120</v>
      </c>
      <c r="C21" s="37"/>
      <c r="D21" s="37"/>
      <c r="E21" s="37"/>
      <c r="F21" s="76"/>
      <c r="G21" s="57"/>
    </row>
    <row r="22" spans="2:7" ht="15.75">
      <c r="B22" s="6" t="str">
        <f>"       Public accommodation taxes (Room tax)  "&amp;REPT(".  ",255)</f>
        <v>       Public accommodation taxes (Room tax)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22" s="38"/>
      <c r="D22" s="38"/>
      <c r="E22" s="38"/>
      <c r="F22" s="76" t="s">
        <v>121</v>
      </c>
      <c r="G22" s="34"/>
    </row>
    <row r="23" spans="2:7" ht="15.75">
      <c r="B23" s="6" t="s">
        <v>122</v>
      </c>
      <c r="C23" s="38"/>
      <c r="D23" s="79"/>
      <c r="E23" s="38"/>
      <c r="F23" s="78"/>
      <c r="G23" s="57"/>
    </row>
    <row r="24" spans="2:7" ht="15.75">
      <c r="B24" s="6" t="s">
        <v>123</v>
      </c>
      <c r="C24" s="38"/>
      <c r="D24" s="79"/>
      <c r="E24" s="38"/>
      <c r="F24" s="76"/>
      <c r="G24" s="57"/>
    </row>
    <row r="25" spans="2:7" ht="15.75">
      <c r="B25" s="6" t="str">
        <f>"                  Local share retained  "&amp;REPT(".  ",255)</f>
        <v>                  Local share retained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25" s="38"/>
      <c r="D25" s="38"/>
      <c r="E25" s="38"/>
      <c r="F25" s="76" t="s">
        <v>124</v>
      </c>
      <c r="G25" s="80"/>
    </row>
    <row r="26" spans="2:7" ht="15.75">
      <c r="B26" s="6" t="str">
        <f>"       Premier Resort Area Tax  "&amp;REPT(".  ",255)</f>
        <v>       Premier Resort Area Tax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26" s="38"/>
      <c r="D26" s="38"/>
      <c r="E26" s="38"/>
      <c r="F26" s="82" t="s">
        <v>125</v>
      </c>
      <c r="G26" s="34"/>
    </row>
    <row r="27" spans="2:7" ht="15.75">
      <c r="B27" s="6" t="str">
        <f>"       Race track admissions tax (s.562.08(2))  "&amp;REPT(".  ",255)</f>
        <v>       Race track admissions tax (s.562.08(2))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27" s="38"/>
      <c r="D27" s="38"/>
      <c r="E27" s="38"/>
      <c r="F27" s="82" t="s">
        <v>126</v>
      </c>
      <c r="G27" s="34"/>
    </row>
    <row r="28" spans="2:7" ht="15.75">
      <c r="B28" s="8" t="s">
        <v>127</v>
      </c>
      <c r="C28" s="37"/>
      <c r="D28" s="37"/>
      <c r="E28" s="37"/>
      <c r="F28" s="76"/>
      <c r="G28" s="57"/>
    </row>
    <row r="29" spans="2:7" ht="15.75">
      <c r="B29" s="6" t="str">
        <f>"       Taxes from regulated municipally-owned utilities  "&amp;REPT(".  ",255)</f>
        <v>       Taxes from regulated municipally-owned utilities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29" s="38"/>
      <c r="D29" s="38"/>
      <c r="E29" s="38"/>
      <c r="F29" s="76" t="s">
        <v>128</v>
      </c>
      <c r="G29" s="34"/>
    </row>
    <row r="30" spans="2:7" ht="15.75">
      <c r="B30" s="6" t="str">
        <f>"       Taxes from other tax exempt entities  "&amp;REPT(".  ",255)</f>
        <v>       Taxes from other tax exempt entities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30" s="38"/>
      <c r="D30" s="38"/>
      <c r="E30" s="38"/>
      <c r="F30" s="78" t="s">
        <v>129</v>
      </c>
      <c r="G30" s="34"/>
    </row>
    <row r="31" spans="2:7" ht="15.75">
      <c r="B31" s="6" t="str">
        <f>"    Interest and penalties on delinquent taxes (From line 052-41800 on page 1)  "&amp;REPT(".  ",255)</f>
        <v>    Interest and penalties on delinquent taxes (From line 052-41800 on page 1)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31" s="38"/>
      <c r="D31" s="38"/>
      <c r="E31" s="38"/>
      <c r="F31" s="78" t="s">
        <v>130</v>
      </c>
      <c r="G31" s="34"/>
    </row>
    <row r="32" spans="2:7" ht="15.75">
      <c r="B32" s="6" t="str">
        <f>"       Include use-value penalties received"</f>
        <v>       Include use-value penalties received</v>
      </c>
      <c r="C32" s="38"/>
      <c r="D32" s="79"/>
      <c r="E32" s="38"/>
      <c r="F32" s="78"/>
      <c r="G32" s="34"/>
    </row>
    <row r="33" spans="2:7" ht="15.75">
      <c r="B33" s="6" t="str">
        <f>"       Less distributions"</f>
        <v>       Less distributions</v>
      </c>
      <c r="C33" s="38"/>
      <c r="D33" s="79"/>
      <c r="E33" s="38"/>
      <c r="F33" s="78"/>
      <c r="G33" s="34"/>
    </row>
    <row r="34" spans="2:7" ht="15.75">
      <c r="B34" s="6" t="s">
        <v>131</v>
      </c>
      <c r="C34" s="38"/>
      <c r="D34" s="38"/>
      <c r="E34" s="40" t="s">
        <v>132</v>
      </c>
      <c r="F34" s="78" t="s">
        <v>133</v>
      </c>
      <c r="G34" s="34"/>
    </row>
    <row r="35" spans="2:7" ht="15.75">
      <c r="B35" s="6"/>
      <c r="C35" s="36" t="s">
        <v>265</v>
      </c>
      <c r="D35" s="38"/>
      <c r="E35" s="83"/>
      <c r="F35" s="78"/>
      <c r="G35" s="57"/>
    </row>
    <row r="36" spans="2:7" ht="15.75">
      <c r="B36" s="6"/>
      <c r="C36" s="38"/>
      <c r="D36" s="38"/>
      <c r="E36" s="83"/>
      <c r="F36" s="76"/>
      <c r="G36" s="57"/>
    </row>
    <row r="37" spans="2:7" ht="16.5" thickBot="1">
      <c r="B37" s="8" t="str">
        <f>"TOTAL TAXES  "&amp;REPT(".  ",255)</f>
        <v>TOTAL TAXES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37" s="37"/>
      <c r="D37" s="37"/>
      <c r="E37" s="37"/>
      <c r="F37" s="84" t="s">
        <v>134</v>
      </c>
      <c r="G37" s="85"/>
    </row>
    <row r="38" spans="2:7" ht="15.75">
      <c r="B38" s="6"/>
      <c r="C38" s="38"/>
      <c r="D38" s="38"/>
      <c r="E38" s="38"/>
      <c r="F38" s="76"/>
      <c r="G38" s="57"/>
    </row>
    <row r="39" spans="2:7" ht="15.75">
      <c r="B39" s="8" t="s">
        <v>135</v>
      </c>
      <c r="C39" s="37"/>
      <c r="D39" s="37"/>
      <c r="E39" s="37"/>
      <c r="F39" s="76"/>
      <c r="G39" s="57"/>
    </row>
    <row r="40" spans="2:7" ht="16.5" thickBot="1">
      <c r="B40" s="8" t="str">
        <f>"TOTAL SPECIAL ASSESSMENTS (Include line 054-42000 from page 1)  "&amp;REPT(".  ",255)</f>
        <v>TOTAL SPECIAL ASSESSMENTS (Include line 054-42000 from page 1)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40" s="37"/>
      <c r="D40" s="37"/>
      <c r="E40" s="37"/>
      <c r="F40" s="84" t="s">
        <v>136</v>
      </c>
      <c r="G40" s="86"/>
    </row>
    <row r="41" spans="2:7" ht="15.75">
      <c r="B41" s="6" t="s">
        <v>137</v>
      </c>
      <c r="C41" s="38"/>
      <c r="D41" s="38"/>
      <c r="E41" s="38"/>
      <c r="F41" s="76"/>
      <c r="G41" s="57"/>
    </row>
    <row r="42" spans="2:7" ht="15.75">
      <c r="B42" s="8" t="s">
        <v>138</v>
      </c>
      <c r="C42" s="37"/>
      <c r="D42" s="37"/>
      <c r="E42" s="37"/>
      <c r="F42" s="76"/>
      <c r="G42" s="57"/>
    </row>
    <row r="43" spans="2:7" ht="15.75">
      <c r="B43" s="8" t="s">
        <v>139</v>
      </c>
      <c r="C43" s="37"/>
      <c r="D43" s="37"/>
      <c r="E43" s="37"/>
      <c r="F43" s="76"/>
      <c r="G43" s="57"/>
    </row>
    <row r="44" spans="2:7" ht="15.75">
      <c r="B44" s="6" t="str">
        <f>"       Law enforcement  "&amp;REPT(".  ",255)</f>
        <v>       Law enforcement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44" s="38"/>
      <c r="D44" s="38"/>
      <c r="E44" s="38"/>
      <c r="F44" s="76" t="s">
        <v>140</v>
      </c>
      <c r="G44" s="77"/>
    </row>
    <row r="45" spans="2:7" ht="15.75">
      <c r="B45" s="6" t="str">
        <f>"       Fire  "&amp;REPT(".  ",255)</f>
        <v>       Fire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45" s="38"/>
      <c r="D45" s="38"/>
      <c r="E45" s="38"/>
      <c r="F45" s="78" t="s">
        <v>141</v>
      </c>
      <c r="G45" s="34"/>
    </row>
    <row r="46" spans="2:7" ht="15.75">
      <c r="B46" s="6" t="str">
        <f>"       Ambulance/EMS  "&amp;REPT(".  ",255)</f>
        <v>       Ambulance/EMS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46" s="38"/>
      <c r="D46" s="38"/>
      <c r="E46" s="38"/>
      <c r="F46" s="78" t="s">
        <v>142</v>
      </c>
      <c r="G46" s="34"/>
    </row>
    <row r="47" spans="2:7" ht="15.75">
      <c r="B47" s="6" t="str">
        <f>"       Other public safety  "&amp;REPT(".  ",255)</f>
        <v>       Other public safety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47" s="38"/>
      <c r="D47" s="38"/>
      <c r="E47" s="38"/>
      <c r="F47" s="78" t="s">
        <v>143</v>
      </c>
      <c r="G47" s="34"/>
    </row>
    <row r="48" spans="2:7" ht="15.75">
      <c r="B48" s="6" t="str">
        <f>"       Highway  "&amp;REPT(".  ",255)</f>
        <v>       Highway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48" s="38"/>
      <c r="D48" s="38"/>
      <c r="E48" s="38"/>
      <c r="F48" s="78" t="s">
        <v>144</v>
      </c>
      <c r="G48" s="34"/>
    </row>
    <row r="49" spans="2:7" ht="15.75">
      <c r="B49" s="6" t="str">
        <f>"       Other transportation  "&amp;REPT(".  ",255)</f>
        <v>       Other transportation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49" s="38"/>
      <c r="D49" s="38"/>
      <c r="E49" s="38"/>
      <c r="F49" s="78" t="s">
        <v>145</v>
      </c>
      <c r="G49" s="34"/>
    </row>
    <row r="50" spans="2:7" ht="15.75">
      <c r="B50" s="6" t="str">
        <f>"       Solid waste disposal  "&amp;REPT(".  ",255)</f>
        <v>       Solid waste disposal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50" s="38"/>
      <c r="D50" s="38"/>
      <c r="E50" s="38"/>
      <c r="F50" s="78" t="s">
        <v>146</v>
      </c>
      <c r="G50" s="34"/>
    </row>
    <row r="51" spans="2:7" ht="15.75">
      <c r="B51" s="6" t="str">
        <f>"       Other sanitation  "&amp;REPT(".  ",255)</f>
        <v>       Other sanitation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51" s="38"/>
      <c r="D51" s="38"/>
      <c r="E51" s="38"/>
      <c r="F51" s="78" t="s">
        <v>147</v>
      </c>
      <c r="G51" s="34"/>
    </row>
    <row r="52" spans="2:7" ht="15.75">
      <c r="B52" s="6" t="str">
        <f>"       Housing/Economic assistance  "&amp;REPT(".  ",255)</f>
        <v>       Housing/Economic assistance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52" s="38"/>
      <c r="D52" s="38"/>
      <c r="E52" s="38"/>
      <c r="F52" s="78" t="s">
        <v>148</v>
      </c>
      <c r="G52" s="34"/>
    </row>
    <row r="53" spans="2:7" ht="15.75">
      <c r="B53" s="6" t="s">
        <v>149</v>
      </c>
      <c r="C53" s="87"/>
      <c r="D53" s="38"/>
      <c r="E53" s="38"/>
      <c r="F53" s="78"/>
      <c r="G53" s="57"/>
    </row>
    <row r="54" spans="2:7" ht="15.75">
      <c r="B54" s="6" t="s">
        <v>150</v>
      </c>
      <c r="C54" s="38"/>
      <c r="D54" s="79"/>
      <c r="E54" s="38"/>
      <c r="F54" s="76"/>
      <c r="G54" s="57"/>
    </row>
    <row r="55" spans="2:7" ht="15.75">
      <c r="B55" s="6" t="s">
        <v>151</v>
      </c>
      <c r="C55" s="38"/>
      <c r="D55" s="79"/>
      <c r="E55" s="38"/>
      <c r="F55" s="76" t="s">
        <v>152</v>
      </c>
      <c r="G55" s="80"/>
    </row>
    <row r="56" spans="2:7" ht="15.75">
      <c r="B56" s="8" t="s">
        <v>153</v>
      </c>
      <c r="C56" s="37"/>
      <c r="D56" s="37"/>
      <c r="E56" s="37"/>
      <c r="F56" s="78"/>
      <c r="G56" s="57"/>
    </row>
    <row r="57" spans="2:7" ht="15.75">
      <c r="B57" s="6" t="str">
        <f>"       Shared revenues (Include expenditure restraint/scrip payment)  "&amp;REPT(".  ",255)</f>
        <v>       Shared revenues (Include expenditure restraint/scrip payment)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57" s="38"/>
      <c r="D57" s="38"/>
      <c r="E57" s="38"/>
      <c r="F57" s="76" t="s">
        <v>154</v>
      </c>
      <c r="G57" s="34"/>
    </row>
    <row r="58" spans="2:7" ht="15.75">
      <c r="B58" s="6" t="str">
        <f>"       Fire insurance tax (2% fire dues)  "&amp;REPT(".  ",255)</f>
        <v>       Fire insurance tax (2% fire dues)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58" s="38"/>
      <c r="D58" s="38"/>
      <c r="E58" s="38"/>
      <c r="F58" s="78" t="s">
        <v>155</v>
      </c>
      <c r="G58" s="34"/>
    </row>
    <row r="59" spans="2:7" ht="15.75">
      <c r="B59" s="6" t="str">
        <f>"       Other state shared taxes (include Exempt Computer Aid) "&amp;REPT(".  ",255)</f>
        <v>       Other state shared taxes (include Exempt Computer Aid)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59" s="38"/>
      <c r="D59" s="38"/>
      <c r="E59" s="38"/>
      <c r="F59" s="78" t="s">
        <v>156</v>
      </c>
      <c r="G59" s="34"/>
    </row>
    <row r="60" spans="2:7" ht="15.75">
      <c r="B60" s="8" t="s">
        <v>157</v>
      </c>
      <c r="C60" s="37"/>
      <c r="D60" s="37"/>
      <c r="E60" s="37"/>
      <c r="F60" s="78"/>
      <c r="G60" s="57"/>
    </row>
    <row r="61" spans="2:7" ht="15.75">
      <c r="B61" s="8" t="s">
        <v>158</v>
      </c>
      <c r="C61" s="37"/>
      <c r="D61" s="37"/>
      <c r="E61" s="37"/>
      <c r="F61" s="76"/>
      <c r="G61" s="57"/>
    </row>
    <row r="62" spans="2:7" ht="15.75">
      <c r="B62" s="6" t="str">
        <f>"          Law enforcement improvement  "&amp;REPT(".  ",255)</f>
        <v>          Law enforcement improvement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62" s="38"/>
      <c r="D62" s="38"/>
      <c r="E62" s="38"/>
      <c r="F62" s="76" t="s">
        <v>159</v>
      </c>
      <c r="G62" s="34"/>
    </row>
    <row r="63" spans="2:7" ht="15.75">
      <c r="B63" s="6" t="str">
        <f>"          Water patrol  "&amp;REPT(".  ",255)</f>
        <v>          Water patrol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63" s="38"/>
      <c r="D63" s="38"/>
      <c r="E63" s="38"/>
      <c r="F63" s="78" t="s">
        <v>160</v>
      </c>
      <c r="G63" s="34"/>
    </row>
    <row r="64" spans="2:7" ht="15.75">
      <c r="B64" s="6" t="str">
        <f>"          Other law enforcement  "&amp;REPT(".  ",255)</f>
        <v>          Other law enforcement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64" s="38"/>
      <c r="D64" s="38"/>
      <c r="E64" s="38"/>
      <c r="F64" s="78" t="s">
        <v>161</v>
      </c>
      <c r="G64" s="34"/>
    </row>
    <row r="65" spans="2:7" ht="15.75">
      <c r="B65" s="6" t="str">
        <f>"          Emergency government  "&amp;REPT(".  ",255)</f>
        <v>          Emergency government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65" s="38"/>
      <c r="D65" s="38"/>
      <c r="E65" s="38"/>
      <c r="F65" s="78" t="s">
        <v>162</v>
      </c>
      <c r="G65" s="34"/>
    </row>
    <row r="66" spans="2:7" ht="15.75">
      <c r="B66" s="6" t="str">
        <f>"          Other public safety  "&amp;REPT(".  ",255)</f>
        <v>          Other public safety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66" s="38"/>
      <c r="D66" s="38"/>
      <c r="E66" s="38"/>
      <c r="F66" s="82" t="s">
        <v>163</v>
      </c>
      <c r="G66" s="34"/>
    </row>
    <row r="67" spans="2:7" ht="15.75" thickBot="1">
      <c r="B67" s="25"/>
      <c r="C67" s="88"/>
      <c r="D67" s="88"/>
      <c r="E67" s="88"/>
      <c r="F67" s="88"/>
      <c r="G67" s="89"/>
    </row>
    <row r="68" ht="13.5" thickTop="1"/>
    <row r="69" ht="12.75">
      <c r="G69" s="90"/>
    </row>
  </sheetData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G67"/>
  <sheetViews>
    <sheetView workbookViewId="0" topLeftCell="A1">
      <selection activeCell="C1" sqref="C1:G16384"/>
    </sheetView>
  </sheetViews>
  <sheetFormatPr defaultColWidth="9.140625" defaultRowHeight="12.75"/>
  <cols>
    <col min="2" max="2" width="55.57421875" style="0" customWidth="1"/>
    <col min="3" max="3" width="9.140625" style="42" customWidth="1"/>
    <col min="4" max="4" width="9.7109375" style="42" bestFit="1" customWidth="1"/>
    <col min="5" max="5" width="11.7109375" style="42" bestFit="1" customWidth="1"/>
    <col min="6" max="6" width="14.421875" style="42" bestFit="1" customWidth="1"/>
    <col min="7" max="7" width="19.28125" style="42" bestFit="1" customWidth="1"/>
  </cols>
  <sheetData>
    <row r="1" ht="15">
      <c r="B1" s="12" t="s">
        <v>215</v>
      </c>
    </row>
    <row r="2" ht="13.5" thickBot="1"/>
    <row r="3" spans="2:7" ht="17.25" thickBot="1" thickTop="1">
      <c r="B3" s="23" t="s">
        <v>216</v>
      </c>
      <c r="C3" s="59"/>
      <c r="D3" s="59"/>
      <c r="E3" s="59"/>
      <c r="F3" s="59"/>
      <c r="G3" s="91"/>
    </row>
    <row r="4" spans="2:7" ht="16.5" thickTop="1">
      <c r="B4" s="23" t="str">
        <f>+'[1]Main'!$C$13&amp;+" SCHEDULE OF REVENUES AND EXPENDITURES"</f>
        <v>2004 SCHEDULE OF REVENUES AND EXPENDITURES</v>
      </c>
      <c r="C4" s="59"/>
      <c r="D4" s="59"/>
      <c r="E4" s="59"/>
      <c r="F4" s="61"/>
      <c r="G4" s="62"/>
    </row>
    <row r="5" spans="2:7" ht="16.5" thickBot="1">
      <c r="B5" s="2" t="s">
        <v>217</v>
      </c>
      <c r="C5" s="63"/>
      <c r="D5" s="63"/>
      <c r="E5" s="63"/>
      <c r="F5" s="63"/>
      <c r="G5" s="45">
        <f>+'[1]Main'!$C$13</f>
        <v>2004</v>
      </c>
    </row>
    <row r="6" spans="2:7" ht="16.5" thickTop="1">
      <c r="B6" s="13"/>
      <c r="C6" s="92"/>
      <c r="D6" s="64"/>
      <c r="E6" s="64"/>
      <c r="F6" s="93"/>
      <c r="G6" s="94"/>
    </row>
    <row r="7" spans="2:7" ht="15.75">
      <c r="B7" s="2" t="s">
        <v>104</v>
      </c>
      <c r="C7" s="63"/>
      <c r="D7" s="63"/>
      <c r="E7" s="63"/>
      <c r="F7" s="95" t="s">
        <v>105</v>
      </c>
      <c r="G7" s="67" t="s">
        <v>106</v>
      </c>
    </row>
    <row r="8" spans="2:7" ht="16.5" thickBot="1">
      <c r="B8" s="6"/>
      <c r="C8" s="38"/>
      <c r="D8" s="96"/>
      <c r="E8" s="96"/>
      <c r="F8" s="95" t="s">
        <v>107</v>
      </c>
      <c r="G8" s="67" t="s">
        <v>108</v>
      </c>
    </row>
    <row r="9" spans="2:7" ht="16.5" thickTop="1">
      <c r="B9" s="16"/>
      <c r="C9" s="38"/>
      <c r="D9" s="71"/>
      <c r="E9" s="71"/>
      <c r="F9" s="97"/>
      <c r="G9" s="94"/>
    </row>
    <row r="10" spans="2:7" ht="15.75">
      <c r="B10" s="8" t="s">
        <v>164</v>
      </c>
      <c r="C10" s="37"/>
      <c r="D10" s="38"/>
      <c r="E10" s="38"/>
      <c r="F10" s="98"/>
      <c r="G10" s="99"/>
    </row>
    <row r="11" spans="2:7" ht="15.75">
      <c r="B11" s="8" t="s">
        <v>165</v>
      </c>
      <c r="C11" s="37"/>
      <c r="D11" s="41"/>
      <c r="E11" s="41"/>
      <c r="F11" s="98"/>
      <c r="G11" s="99"/>
    </row>
    <row r="12" spans="2:7" ht="15.75">
      <c r="B12" s="6" t="str">
        <f>"       General transportation aids   "&amp;REPT(".  ",255)</f>
        <v>       General transportation aids 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12" s="38"/>
      <c r="D12" s="37"/>
      <c r="E12" s="37"/>
      <c r="F12" s="100" t="s">
        <v>166</v>
      </c>
      <c r="G12" s="101"/>
    </row>
    <row r="13" spans="2:7" ht="15.75">
      <c r="B13" s="6" t="str">
        <f>"       DOT Flood Damage   "&amp;REPT(".  ",255)</f>
        <v>       DOT Flood Damage 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13" s="38"/>
      <c r="D13" s="37"/>
      <c r="E13" s="37"/>
      <c r="F13" s="102" t="s">
        <v>167</v>
      </c>
      <c r="G13" s="103"/>
    </row>
    <row r="14" spans="2:7" ht="15.75">
      <c r="B14" s="6" t="str">
        <f>"       Other highway aid (include PECFA and FEMA)   "&amp;REPT(".  ",255)</f>
        <v>       Other highway aid (include PECFA and FEMA) 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14" s="38"/>
      <c r="D14" s="38"/>
      <c r="E14" s="38"/>
      <c r="F14" s="102" t="s">
        <v>168</v>
      </c>
      <c r="G14" s="103"/>
    </row>
    <row r="15" spans="2:7" ht="15.75">
      <c r="B15" s="6" t="str">
        <f>"       Local road improvement program   "&amp;REPT(".  ",255)</f>
        <v>       Local road improvement program 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15" s="38"/>
      <c r="D15" s="37"/>
      <c r="E15" s="38"/>
      <c r="F15" s="102" t="s">
        <v>169</v>
      </c>
      <c r="G15" s="103"/>
    </row>
    <row r="16" spans="2:7" ht="15.75">
      <c r="B16" s="6" t="str">
        <f>"       Other transportation   "&amp;REPT(".  ",255)</f>
        <v>       Other transportation 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16" s="38"/>
      <c r="D16" s="38"/>
      <c r="E16" s="38"/>
      <c r="F16" s="102" t="s">
        <v>170</v>
      </c>
      <c r="G16" s="103"/>
    </row>
    <row r="17" spans="2:7" ht="15.75">
      <c r="B17" s="6" t="str">
        <f>"       Recycling   "&amp;REPT(".  ",255)</f>
        <v>       Recycling 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17" s="38"/>
      <c r="D17" s="38"/>
      <c r="E17" s="38"/>
      <c r="F17" s="102" t="s">
        <v>171</v>
      </c>
      <c r="G17" s="103"/>
    </row>
    <row r="18" spans="2:7" ht="15.75">
      <c r="B18" s="6" t="str">
        <f>"       Other sanitation (include Landfill Closure Grants)   "&amp;REPT(".  ",255)</f>
        <v>       Other sanitation (include Landfill Closure Grants) 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18" s="38"/>
      <c r="D18" s="38"/>
      <c r="E18" s="38"/>
      <c r="F18" s="102" t="s">
        <v>172</v>
      </c>
      <c r="G18" s="103"/>
    </row>
    <row r="19" spans="2:7" ht="15.75">
      <c r="B19" s="6" t="str">
        <f>"       Housing\Economic assistance   "&amp;REPT(".  ",255)</f>
        <v>       Housing\Economic assistance 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19" s="38"/>
      <c r="D19" s="38"/>
      <c r="E19" s="38"/>
      <c r="F19" s="102" t="s">
        <v>173</v>
      </c>
      <c r="G19" s="103"/>
    </row>
    <row r="20" spans="2:7" ht="15.75">
      <c r="B20" s="8" t="s">
        <v>174</v>
      </c>
      <c r="C20" s="37"/>
      <c r="D20" s="38"/>
      <c r="E20" s="38"/>
      <c r="F20" s="104"/>
      <c r="G20" s="105"/>
    </row>
    <row r="21" spans="2:7" ht="15.75">
      <c r="B21" s="6" t="str">
        <f>"       Payment for municipal services aid   "&amp;REPT(".  ",255)</f>
        <v>       Payment for municipal services aid 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21" s="38"/>
      <c r="D21" s="38"/>
      <c r="E21" s="38"/>
      <c r="F21" s="100" t="s">
        <v>175</v>
      </c>
      <c r="G21" s="106"/>
    </row>
    <row r="22" spans="2:7" ht="15.75">
      <c r="B22" s="6" t="str">
        <f>"       In lieu of taxes on state conservation lands (s70.113 April PILT)  "&amp;REPT(".  ",255)</f>
        <v>       In lieu of taxes on state conservation lands (s70.113 April PILT)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22" s="38"/>
      <c r="D22" s="37"/>
      <c r="E22" s="37"/>
      <c r="F22" s="102" t="s">
        <v>176</v>
      </c>
      <c r="G22" s="103"/>
    </row>
    <row r="23" spans="2:7" ht="15.75">
      <c r="B23" s="6" t="str">
        <f>"       In lieu of taxes on federal forest lands   "&amp;REPT(".  ",255)</f>
        <v>       In lieu of taxes on federal forest lands 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23" s="38"/>
      <c r="D23" s="38"/>
      <c r="E23" s="38"/>
      <c r="F23" s="102" t="s">
        <v>177</v>
      </c>
      <c r="G23" s="103"/>
    </row>
    <row r="24" spans="2:7" ht="15.75">
      <c r="B24" s="6" t="s">
        <v>178</v>
      </c>
      <c r="C24" s="38"/>
      <c r="D24" s="79"/>
      <c r="E24" s="38"/>
      <c r="F24" s="104"/>
      <c r="G24" s="105"/>
    </row>
    <row r="25" spans="2:7" ht="15.75">
      <c r="B25" s="6" t="s">
        <v>179</v>
      </c>
      <c r="C25" s="38"/>
      <c r="D25" s="79"/>
      <c r="E25" s="38"/>
      <c r="F25" s="107"/>
      <c r="G25" s="108"/>
    </row>
    <row r="26" spans="2:7" ht="15.75">
      <c r="B26" s="6" t="str">
        <f>"                 Difference Retained   "&amp;REPT(".  ",255)</f>
        <v>                 Difference Retained 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26" s="38"/>
      <c r="D26" s="38"/>
      <c r="E26" s="38"/>
      <c r="F26" s="100" t="s">
        <v>180</v>
      </c>
      <c r="G26" s="20"/>
    </row>
    <row r="27" spans="2:7" ht="15.75">
      <c r="B27" s="6" t="s">
        <v>181</v>
      </c>
      <c r="C27" s="38"/>
      <c r="D27" s="79"/>
      <c r="E27" s="38"/>
      <c r="F27" s="104" t="s">
        <v>182</v>
      </c>
      <c r="G27" s="105"/>
    </row>
    <row r="28" spans="2:7" ht="15.75">
      <c r="B28" s="6" t="s">
        <v>183</v>
      </c>
      <c r="C28" s="38"/>
      <c r="D28" s="79"/>
      <c r="E28" s="38"/>
      <c r="F28" s="107"/>
      <c r="G28" s="108"/>
    </row>
    <row r="29" spans="2:7" ht="15.75">
      <c r="B29" s="6" t="str">
        <f>"                 Difference Retained   "&amp;REPT(".  ",255)</f>
        <v>                 Difference Retained 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29" s="38"/>
      <c r="D29" s="37"/>
      <c r="E29" s="37"/>
      <c r="F29" s="100" t="s">
        <v>184</v>
      </c>
      <c r="G29" s="20"/>
    </row>
    <row r="30" spans="2:7" ht="15.75">
      <c r="B30" s="6" t="s">
        <v>185</v>
      </c>
      <c r="C30" s="38"/>
      <c r="D30" s="38"/>
      <c r="E30" s="38"/>
      <c r="F30" s="104"/>
      <c r="G30" s="105"/>
    </row>
    <row r="31" spans="2:7" ht="15.75">
      <c r="B31" s="6" t="s">
        <v>186</v>
      </c>
      <c r="C31" s="38"/>
      <c r="D31" s="79"/>
      <c r="E31" s="38"/>
      <c r="F31" s="107"/>
      <c r="G31" s="108"/>
    </row>
    <row r="32" spans="2:7" ht="15.75">
      <c r="B32" s="6" t="s">
        <v>187</v>
      </c>
      <c r="C32" s="38"/>
      <c r="D32" s="79"/>
      <c r="E32" s="38"/>
      <c r="F32" s="107"/>
      <c r="G32" s="108"/>
    </row>
    <row r="33" spans="2:7" ht="15.75">
      <c r="B33" s="6" t="str">
        <f>"                 Difference Retained   "&amp;REPT(".  ",255)</f>
        <v>                 Difference Retained 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33" s="38"/>
      <c r="D33" s="38"/>
      <c r="E33" s="38"/>
      <c r="F33" s="100" t="s">
        <v>188</v>
      </c>
      <c r="G33" s="20"/>
    </row>
    <row r="34" spans="2:7" ht="15.75">
      <c r="B34" s="6" t="s">
        <v>189</v>
      </c>
      <c r="C34" s="38"/>
      <c r="D34" s="38"/>
      <c r="E34" s="38"/>
      <c r="F34" s="104"/>
      <c r="G34" s="105"/>
    </row>
    <row r="35" spans="2:7" ht="15.75">
      <c r="B35" s="21"/>
      <c r="C35" s="36"/>
      <c r="D35" s="38"/>
      <c r="E35" s="109" t="s">
        <v>132</v>
      </c>
      <c r="F35" s="100" t="s">
        <v>190</v>
      </c>
      <c r="G35" s="106"/>
    </row>
    <row r="36" spans="2:7" ht="15.75">
      <c r="B36" s="8" t="s">
        <v>191</v>
      </c>
      <c r="C36" s="37"/>
      <c r="D36" s="37"/>
      <c r="E36" s="37"/>
      <c r="F36" s="104"/>
      <c r="G36" s="105"/>
    </row>
    <row r="37" spans="2:7" ht="15.75">
      <c r="B37" s="6" t="str">
        <f>"       Highway and bridges   "&amp;REPT(".  ",255)</f>
        <v>       Highway and bridges 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37" s="38"/>
      <c r="D37" s="38"/>
      <c r="E37" s="38"/>
      <c r="F37" s="100" t="s">
        <v>192</v>
      </c>
      <c r="G37" s="106"/>
    </row>
    <row r="38" spans="2:7" ht="15.75">
      <c r="B38" s="6" t="str">
        <f>"       County timber sales   "&amp;REPT(".  ",255)</f>
        <v>       County timber sales 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38" s="38"/>
      <c r="D38" s="37"/>
      <c r="E38" s="37"/>
      <c r="F38" s="102" t="s">
        <v>193</v>
      </c>
      <c r="G38" s="103"/>
    </row>
    <row r="39" spans="2:7" ht="15.75">
      <c r="B39" s="6" t="str">
        <f>"       National forest income from county   "&amp;REPT(".  ",255)</f>
        <v>       National forest income from county 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39" s="38"/>
      <c r="D39" s="37"/>
      <c r="E39" s="37"/>
      <c r="F39" s="102" t="s">
        <v>194</v>
      </c>
      <c r="G39" s="103"/>
    </row>
    <row r="40" spans="2:7" ht="15.75">
      <c r="B40" s="6" t="s">
        <v>195</v>
      </c>
      <c r="C40" s="38"/>
      <c r="D40" s="38"/>
      <c r="E40" s="38"/>
      <c r="F40" s="104"/>
      <c r="G40" s="105"/>
    </row>
    <row r="41" spans="2:7" ht="15.75">
      <c r="B41" s="21" t="s">
        <v>96</v>
      </c>
      <c r="C41" s="38"/>
      <c r="D41" s="79"/>
      <c r="E41" s="37"/>
      <c r="F41" s="107"/>
      <c r="G41" s="108"/>
    </row>
    <row r="42" spans="2:7" ht="15.75">
      <c r="B42" s="21" t="s">
        <v>97</v>
      </c>
      <c r="C42" s="36"/>
      <c r="D42" s="79"/>
      <c r="E42" s="109"/>
      <c r="F42" s="100" t="s">
        <v>196</v>
      </c>
      <c r="G42" s="106"/>
    </row>
    <row r="43" spans="2:7" ht="15.75">
      <c r="B43" s="6"/>
      <c r="C43" s="38"/>
      <c r="D43" s="38"/>
      <c r="E43" s="38"/>
      <c r="F43" s="104"/>
      <c r="G43" s="105"/>
    </row>
    <row r="44" spans="2:7" ht="16.5" thickBot="1">
      <c r="B44" s="8" t="str">
        <f>"TOTAL INTERGOVERNMENTAL REVENUES   "&amp;REPT(".  ",255)</f>
        <v>TOTAL INTERGOVERNMENTAL REVENUES 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44" s="37"/>
      <c r="D44" s="38"/>
      <c r="E44" s="38"/>
      <c r="F44" s="110" t="s">
        <v>197</v>
      </c>
      <c r="G44" s="111"/>
    </row>
    <row r="45" spans="2:7" ht="15.75">
      <c r="B45" s="6"/>
      <c r="C45" s="38"/>
      <c r="D45" s="38"/>
      <c r="E45" s="38"/>
      <c r="F45" s="76"/>
      <c r="G45" s="112"/>
    </row>
    <row r="46" spans="2:7" ht="15.75">
      <c r="B46" s="8" t="s">
        <v>198</v>
      </c>
      <c r="C46" s="37"/>
      <c r="D46" s="38"/>
      <c r="E46" s="38"/>
      <c r="F46" s="76"/>
      <c r="G46" s="112"/>
    </row>
    <row r="47" spans="2:7" ht="15.75">
      <c r="B47" s="6" t="str">
        <f>"       Business and occupational licenses   "&amp;REPT(".  ",255)</f>
        <v>       Business and occupational licenses 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47" s="38"/>
      <c r="D47" s="38"/>
      <c r="E47" s="38"/>
      <c r="F47" s="100" t="s">
        <v>199</v>
      </c>
      <c r="G47" s="101"/>
    </row>
    <row r="48" spans="2:7" ht="15.75">
      <c r="B48" s="6" t="str">
        <f>"       Nonbusiness licenses (Include line 055-44200 from page 1)   "&amp;REPT(".  ",255)</f>
        <v>       Nonbusiness licenses (Include line 055-44200 from page 1) 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48" s="38"/>
      <c r="D48" s="38"/>
      <c r="E48" s="38"/>
      <c r="F48" s="102" t="s">
        <v>200</v>
      </c>
      <c r="G48" s="103"/>
    </row>
    <row r="49" spans="2:7" ht="15.75">
      <c r="B49" s="6" t="str">
        <f>"       Building permits and inspection fees   "&amp;REPT(".  ",255)</f>
        <v>       Building permits and inspection fees 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49" s="38"/>
      <c r="D49" s="38"/>
      <c r="E49" s="38"/>
      <c r="F49" s="102" t="s">
        <v>201</v>
      </c>
      <c r="G49" s="103"/>
    </row>
    <row r="50" spans="2:7" ht="15.75">
      <c r="B50" s="6" t="str">
        <f>"       Zoning permits and fees   "&amp;REPT(".  ",255)</f>
        <v>       Zoning permits and fees 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50" s="38"/>
      <c r="D50" s="37"/>
      <c r="E50" s="38"/>
      <c r="F50" s="102" t="s">
        <v>202</v>
      </c>
      <c r="G50" s="103"/>
    </row>
    <row r="51" spans="2:7" ht="15.75">
      <c r="B51" s="6" t="s">
        <v>203</v>
      </c>
      <c r="C51" s="38"/>
      <c r="D51" s="38"/>
      <c r="E51" s="38"/>
      <c r="F51" s="104"/>
      <c r="G51" s="105"/>
    </row>
    <row r="52" spans="2:7" ht="15.75">
      <c r="B52" s="21" t="s">
        <v>98</v>
      </c>
      <c r="C52" s="38"/>
      <c r="D52" s="79"/>
      <c r="E52" s="38"/>
      <c r="F52" s="107"/>
      <c r="G52" s="108"/>
    </row>
    <row r="53" spans="2:7" ht="15.75">
      <c r="B53" s="21" t="s">
        <v>99</v>
      </c>
      <c r="C53" s="36"/>
      <c r="D53" s="79"/>
      <c r="E53" s="109"/>
      <c r="F53" s="100" t="s">
        <v>204</v>
      </c>
      <c r="G53" s="106"/>
    </row>
    <row r="54" spans="2:7" ht="15.75">
      <c r="B54" s="6"/>
      <c r="C54" s="38"/>
      <c r="D54" s="38"/>
      <c r="E54" s="38"/>
      <c r="F54" s="104"/>
      <c r="G54" s="105"/>
    </row>
    <row r="55" spans="2:7" ht="16.5" thickBot="1">
      <c r="B55" s="8" t="str">
        <f>"TOTAL LICENSES AND PERMITS   "&amp;REPT(".  ",255)</f>
        <v>TOTAL LICENSES AND PERMITS 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55" s="37"/>
      <c r="D55" s="38"/>
      <c r="E55" s="38"/>
      <c r="F55" s="110" t="s">
        <v>205</v>
      </c>
      <c r="G55" s="111"/>
    </row>
    <row r="56" spans="2:7" ht="15.75">
      <c r="B56" s="6"/>
      <c r="C56" s="38"/>
      <c r="D56" s="38"/>
      <c r="E56" s="37"/>
      <c r="F56" s="76"/>
      <c r="G56" s="112"/>
    </row>
    <row r="57" spans="2:7" ht="15.75">
      <c r="B57" s="8" t="s">
        <v>206</v>
      </c>
      <c r="C57" s="37"/>
      <c r="D57" s="38"/>
      <c r="E57" s="38"/>
      <c r="F57" s="76"/>
      <c r="G57" s="112"/>
    </row>
    <row r="58" spans="2:7" ht="15.75">
      <c r="B58" s="6" t="str">
        <f>"       Law and ordinance violations   "&amp;REPT(".  ",255)</f>
        <v>       Law and ordinance violations 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58" s="38"/>
      <c r="D58" s="38"/>
      <c r="E58" s="38"/>
      <c r="F58" s="113" t="s">
        <v>207</v>
      </c>
      <c r="G58" s="101"/>
    </row>
    <row r="59" spans="2:7" ht="15.75">
      <c r="B59" s="6" t="str">
        <f>"       Contract forfeitures (Include woodland tax penalties)   "&amp;REPT(".  ",255)</f>
        <v>       Contract forfeitures (Include woodland tax penalties) 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59" s="38"/>
      <c r="D59" s="38"/>
      <c r="E59" s="38"/>
      <c r="F59" s="102" t="s">
        <v>208</v>
      </c>
      <c r="G59" s="103"/>
    </row>
    <row r="60" spans="2:7" ht="15.75">
      <c r="B60" s="8" t="s">
        <v>209</v>
      </c>
      <c r="C60" s="37"/>
      <c r="D60" s="37"/>
      <c r="E60" s="37"/>
      <c r="F60" s="104"/>
      <c r="G60" s="105"/>
    </row>
    <row r="61" spans="2:7" ht="15.75">
      <c r="B61" s="6" t="s">
        <v>210</v>
      </c>
      <c r="C61" s="38"/>
      <c r="D61" s="37"/>
      <c r="E61" s="37"/>
      <c r="F61" s="107"/>
      <c r="G61" s="108"/>
    </row>
    <row r="62" spans="2:7" ht="15.75">
      <c r="B62" s="6" t="str">
        <f>"            property   "&amp;REPT(".  ",255)</f>
        <v>            property 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62" s="38"/>
      <c r="D62" s="38"/>
      <c r="E62" s="38"/>
      <c r="F62" s="100" t="s">
        <v>211</v>
      </c>
      <c r="G62" s="106"/>
    </row>
    <row r="63" spans="2:7" ht="15.75">
      <c r="B63" s="6" t="str">
        <f>"         Judgments and damage awards for highway equipment and property   "&amp;REPT(".  ",255)</f>
        <v>         Judgments and damage awards for highway equipment and property 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63" s="38"/>
      <c r="D63" s="38"/>
      <c r="E63" s="38"/>
      <c r="F63" s="102" t="s">
        <v>212</v>
      </c>
      <c r="G63" s="103"/>
    </row>
    <row r="64" spans="2:7" ht="15.75">
      <c r="B64" s="6" t="str">
        <f>"         Judgments and damage awards for other equipment and property   "&amp;REPT(".  ",255)</f>
        <v>         Judgments and damage awards for other equipment and property 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64" s="38"/>
      <c r="D64" s="38"/>
      <c r="E64" s="38"/>
      <c r="F64" s="102" t="s">
        <v>213</v>
      </c>
      <c r="G64" s="103"/>
    </row>
    <row r="65" spans="2:7" ht="15.75">
      <c r="B65" s="6"/>
      <c r="C65" s="38"/>
      <c r="D65" s="38"/>
      <c r="E65" s="38"/>
      <c r="F65" s="104"/>
      <c r="G65" s="105"/>
    </row>
    <row r="66" spans="2:7" ht="16.5" thickBot="1">
      <c r="B66" s="8" t="str">
        <f>"TOTAL FINES, FORFEITS AND PENALTIES   "&amp;REPT(".  ",255)</f>
        <v>TOTAL FINES, FORFEITS AND PENALTIES 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66" s="37"/>
      <c r="D66" s="38"/>
      <c r="E66" s="38"/>
      <c r="F66" s="110" t="s">
        <v>214</v>
      </c>
      <c r="G66" s="111"/>
    </row>
    <row r="67" spans="2:7" ht="16.5" thickBot="1">
      <c r="B67" s="25"/>
      <c r="C67" s="88"/>
      <c r="D67" s="88"/>
      <c r="E67" s="88"/>
      <c r="F67" s="88"/>
      <c r="G67" s="114"/>
    </row>
    <row r="68" ht="13.5" thickTop="1"/>
  </sheetData>
  <printOptions/>
  <pageMargins left="0.75" right="0.75" top="1" bottom="1" header="0.5" footer="0.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F59"/>
  <sheetViews>
    <sheetView workbookViewId="0" topLeftCell="A34">
      <selection activeCell="C34" sqref="C1:F16384"/>
    </sheetView>
  </sheetViews>
  <sheetFormatPr defaultColWidth="9.140625" defaultRowHeight="12.75"/>
  <cols>
    <col min="2" max="2" width="60.8515625" style="0" customWidth="1"/>
    <col min="3" max="3" width="9.140625" style="42" customWidth="1"/>
    <col min="4" max="4" width="11.7109375" style="42" bestFit="1" customWidth="1"/>
    <col min="5" max="5" width="14.421875" style="42" bestFit="1" customWidth="1"/>
    <col min="6" max="6" width="19.28125" style="42" bestFit="1" customWidth="1"/>
  </cols>
  <sheetData>
    <row r="1" ht="15">
      <c r="B1" s="35" t="s">
        <v>266</v>
      </c>
    </row>
    <row r="2" ht="13.5" thickBot="1"/>
    <row r="3" spans="2:6" ht="17.25" thickBot="1" thickTop="1">
      <c r="B3" s="23" t="s">
        <v>216</v>
      </c>
      <c r="C3" s="59"/>
      <c r="D3" s="59"/>
      <c r="E3" s="59"/>
      <c r="F3" s="91"/>
    </row>
    <row r="4" spans="2:6" ht="16.5" thickTop="1">
      <c r="B4" s="23" t="str">
        <f>+'[1]Main'!$C$13&amp;+" SCHEDULE OF REVENUES AND EXPENDITURES"</f>
        <v>2004 SCHEDULE OF REVENUES AND EXPENDITURES</v>
      </c>
      <c r="C4" s="59"/>
      <c r="D4" s="59"/>
      <c r="E4" s="61"/>
      <c r="F4" s="62"/>
    </row>
    <row r="5" spans="2:6" ht="16.5" thickBot="1">
      <c r="B5" s="2" t="s">
        <v>217</v>
      </c>
      <c r="C5" s="63"/>
      <c r="D5" s="63"/>
      <c r="E5" s="115"/>
      <c r="F5" s="116">
        <f>+'[1]Main'!$C$13</f>
        <v>2004</v>
      </c>
    </row>
    <row r="6" spans="2:6" ht="16.5" thickTop="1">
      <c r="B6" s="13"/>
      <c r="C6" s="92"/>
      <c r="D6" s="92"/>
      <c r="E6" s="93"/>
      <c r="F6" s="94"/>
    </row>
    <row r="7" spans="2:6" ht="15.75">
      <c r="B7" s="2" t="s">
        <v>104</v>
      </c>
      <c r="C7" s="63"/>
      <c r="D7" s="63"/>
      <c r="E7" s="95" t="s">
        <v>105</v>
      </c>
      <c r="F7" s="67" t="s">
        <v>106</v>
      </c>
    </row>
    <row r="8" spans="2:6" ht="16.5" thickBot="1">
      <c r="B8" s="8"/>
      <c r="C8" s="37"/>
      <c r="D8" s="37"/>
      <c r="E8" s="95" t="s">
        <v>107</v>
      </c>
      <c r="F8" s="67" t="s">
        <v>108</v>
      </c>
    </row>
    <row r="9" spans="2:6" ht="16.5" thickTop="1">
      <c r="B9" s="16"/>
      <c r="C9" s="117"/>
      <c r="D9" s="117"/>
      <c r="E9" s="97"/>
      <c r="F9" s="94"/>
    </row>
    <row r="10" spans="2:6" ht="15.75">
      <c r="B10" s="6"/>
      <c r="C10" s="38"/>
      <c r="D10" s="38"/>
      <c r="E10" s="98"/>
      <c r="F10" s="99"/>
    </row>
    <row r="11" spans="2:6" ht="15.75">
      <c r="B11" s="8" t="s">
        <v>267</v>
      </c>
      <c r="C11" s="37"/>
      <c r="D11" s="37"/>
      <c r="E11" s="98"/>
      <c r="F11" s="99"/>
    </row>
    <row r="12" spans="2:6" ht="15.75">
      <c r="B12" s="6" t="str">
        <f>"     General government (Inc. garnishment and filing fees)   "&amp;REPT(".  ",255)</f>
        <v>     General government (Inc. garnishment and filing fees) 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12" s="38"/>
      <c r="D12" s="38"/>
      <c r="E12" s="100" t="s">
        <v>268</v>
      </c>
      <c r="F12" s="101"/>
    </row>
    <row r="13" spans="2:6" ht="15.75">
      <c r="B13" s="8" t="s">
        <v>269</v>
      </c>
      <c r="C13" s="37"/>
      <c r="D13" s="37"/>
      <c r="E13" s="104" t="s">
        <v>270</v>
      </c>
      <c r="F13" s="118"/>
    </row>
    <row r="14" spans="2:6" ht="15.75">
      <c r="B14" s="6" t="str">
        <f>"            Law enforcement fees   "&amp;REPT(".  ",255)</f>
        <v>            Law enforcement fees 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14" s="38"/>
      <c r="D14" s="38"/>
      <c r="E14" s="100" t="s">
        <v>271</v>
      </c>
      <c r="F14" s="106"/>
    </row>
    <row r="15" spans="2:6" ht="15.75">
      <c r="B15" s="6" t="str">
        <f>"            Fire protection fees   "&amp;REPT(".  ",255)</f>
        <v>            Fire protection fees 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15" s="38"/>
      <c r="D15" s="38"/>
      <c r="E15" s="102" t="s">
        <v>272</v>
      </c>
      <c r="F15" s="103"/>
    </row>
    <row r="16" spans="2:6" ht="15.75">
      <c r="B16" s="6" t="str">
        <f>"            Ambulance\EMS fees   "&amp;REPT(".  ",255)</f>
        <v>            Ambulance\EMS fees 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16" s="38"/>
      <c r="D16" s="38"/>
      <c r="E16" s="102" t="s">
        <v>273</v>
      </c>
      <c r="F16" s="103"/>
    </row>
    <row r="17" spans="2:6" ht="15.75">
      <c r="B17" s="6" t="str">
        <f>"            Other public safety   "&amp;REPT(".  ",255)</f>
        <v>            Other public safety 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17" s="38"/>
      <c r="D17" s="38"/>
      <c r="E17" s="102" t="s">
        <v>274</v>
      </c>
      <c r="F17" s="103"/>
    </row>
    <row r="18" spans="2:6" ht="15.75">
      <c r="B18" s="8" t="s">
        <v>275</v>
      </c>
      <c r="C18" s="37"/>
      <c r="D18" s="37"/>
      <c r="E18" s="104"/>
      <c r="F18" s="118"/>
    </row>
    <row r="19" spans="2:6" ht="15.75">
      <c r="B19" s="6" t="s">
        <v>276</v>
      </c>
      <c r="C19" s="38"/>
      <c r="D19" s="38"/>
      <c r="E19" s="107"/>
      <c r="F19" s="99"/>
    </row>
    <row r="20" spans="2:6" ht="15.75">
      <c r="B20" s="6" t="str">
        <f>"             snow removal, ditching, blacktopping, culverts, and gravel sales)   "&amp;REPT(".  ",255)</f>
        <v>             snow removal, ditching, blacktopping, culverts, and gravel sales) 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20" s="38"/>
      <c r="D20" s="38"/>
      <c r="E20" s="100" t="s">
        <v>277</v>
      </c>
      <c r="F20" s="106"/>
    </row>
    <row r="21" spans="2:6" ht="15.75">
      <c r="B21" s="6" t="str">
        <f>"            Street (highway) lighting   "&amp;REPT(".  ",255)</f>
        <v>            Street (highway) lighting 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21" s="38"/>
      <c r="D21" s="38"/>
      <c r="E21" s="102" t="s">
        <v>278</v>
      </c>
      <c r="F21" s="103"/>
    </row>
    <row r="22" spans="2:6" ht="15.75">
      <c r="B22" s="6" t="str">
        <f>"            Sidewalks (replacement with street reconstruction)   "&amp;REPT(".  ",255)</f>
        <v>            Sidewalks (replacement with street reconstruction) 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22" s="38"/>
      <c r="D22" s="38"/>
      <c r="E22" s="102" t="s">
        <v>279</v>
      </c>
      <c r="F22" s="103"/>
    </row>
    <row r="23" spans="2:6" ht="15.75">
      <c r="B23" s="6" t="str">
        <f>"            Sidewalks new construction/replacement without street reconstruction   "&amp;REPT(".  ",255)</f>
        <v>            Sidewalks new construction/replacement without street reconstruction 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23" s="38"/>
      <c r="D23" s="38"/>
      <c r="E23" s="102" t="s">
        <v>280</v>
      </c>
      <c r="F23" s="103"/>
    </row>
    <row r="24" spans="2:6" ht="15.75">
      <c r="B24" s="6" t="str">
        <f>"            Storm sewers   "&amp;REPT(".  ",255)</f>
        <v>            Storm sewers 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24" s="38"/>
      <c r="D24" s="38"/>
      <c r="E24" s="102" t="s">
        <v>281</v>
      </c>
      <c r="F24" s="103"/>
    </row>
    <row r="25" spans="2:6" ht="15.75">
      <c r="B25" s="6" t="str">
        <f>"            Parking lots, ramps and meters   "&amp;REPT(".  ",255)</f>
        <v>            Parking lots, ramps and meters 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25" s="38"/>
      <c r="D25" s="38"/>
      <c r="E25" s="102" t="s">
        <v>282</v>
      </c>
      <c r="F25" s="103"/>
    </row>
    <row r="26" spans="2:6" ht="15.75">
      <c r="B26" s="6" t="str">
        <f>"            Airport   "&amp;REPT(".  ",255)</f>
        <v>            Airport 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26" s="38"/>
      <c r="D26" s="38"/>
      <c r="E26" s="102" t="s">
        <v>283</v>
      </c>
      <c r="F26" s="103"/>
    </row>
    <row r="27" spans="2:6" ht="15.75">
      <c r="B27" s="6" t="str">
        <f>"            Mass transit fares   "&amp;REPT(".  ",255)</f>
        <v>            Mass transit fares 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27" s="38"/>
      <c r="D27" s="38"/>
      <c r="E27" s="102" t="s">
        <v>284</v>
      </c>
      <c r="F27" s="103"/>
    </row>
    <row r="28" spans="2:6" ht="15.75">
      <c r="B28" s="6" t="str">
        <f>"            Docks and harbors (commercial)   "&amp;REPT(".  ",255)</f>
        <v>            Docks and harbors (commercial) 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28" s="38"/>
      <c r="D28" s="38"/>
      <c r="E28" s="102" t="s">
        <v>285</v>
      </c>
      <c r="F28" s="103"/>
    </row>
    <row r="29" spans="2:6" ht="15.75">
      <c r="B29" s="6" t="str">
        <f>"            Other transportation   "&amp;REPT(".  ",255)</f>
        <v>            Other transportation 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29" s="38"/>
      <c r="D29" s="38"/>
      <c r="E29" s="102" t="s">
        <v>286</v>
      </c>
      <c r="F29" s="103"/>
    </row>
    <row r="30" spans="2:6" ht="15.75">
      <c r="B30" s="8" t="s">
        <v>287</v>
      </c>
      <c r="C30" s="37"/>
      <c r="D30" s="37"/>
      <c r="E30" s="104"/>
      <c r="F30" s="118"/>
    </row>
    <row r="31" spans="2:6" ht="15.75">
      <c r="B31" s="6" t="str">
        <f>"            Sewage service   "&amp;REPT(".  ",255)</f>
        <v>            Sewage service 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31" s="38"/>
      <c r="D31" s="38"/>
      <c r="E31" s="100" t="s">
        <v>288</v>
      </c>
      <c r="F31" s="106"/>
    </row>
    <row r="32" spans="2:6" ht="15.75">
      <c r="B32" s="6" t="str">
        <f>"            Refuse and garbage collection (Curbside pickup)   "&amp;REPT(".  ",255)</f>
        <v>            Refuse and garbage collection (Curbside pickup) 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32" s="38"/>
      <c r="D32" s="38"/>
      <c r="E32" s="102" t="s">
        <v>289</v>
      </c>
      <c r="F32" s="103"/>
    </row>
    <row r="33" spans="2:6" ht="15.75">
      <c r="B33" s="6" t="str">
        <f>"            Solid waste disposal (Include central collection point transfer)   "&amp;REPT(".  ",255)</f>
        <v>            Solid waste disposal (Include central collection point transfer) 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33" s="38"/>
      <c r="D33" s="38"/>
      <c r="E33" s="102" t="s">
        <v>290</v>
      </c>
      <c r="F33" s="103"/>
    </row>
    <row r="34" spans="2:6" ht="15.75">
      <c r="B34" s="6" t="str">
        <f>"            Recycling   "&amp;REPT(".  ",255)</f>
        <v>            Recycling 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34" s="38"/>
      <c r="D34" s="38"/>
      <c r="E34" s="102" t="s">
        <v>291</v>
      </c>
      <c r="F34" s="103"/>
    </row>
    <row r="35" spans="2:6" ht="15.75">
      <c r="B35" s="6" t="str">
        <f>"            Weed and nuisance control   "&amp;REPT(".  ",255)</f>
        <v>            Weed and nuisance control 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35" s="38"/>
      <c r="D35" s="38"/>
      <c r="E35" s="102" t="s">
        <v>292</v>
      </c>
      <c r="F35" s="103"/>
    </row>
    <row r="36" spans="2:6" ht="15.75">
      <c r="B36" s="6" t="str">
        <f>"            Sanitation services (other)   "&amp;REPT(".  ",255)</f>
        <v>            Sanitation services (other) 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36" s="38"/>
      <c r="D36" s="38"/>
      <c r="E36" s="102" t="s">
        <v>293</v>
      </c>
      <c r="F36" s="103"/>
    </row>
    <row r="37" spans="2:6" ht="15.75">
      <c r="B37" s="8" t="s">
        <v>294</v>
      </c>
      <c r="C37" s="37"/>
      <c r="D37" s="37"/>
      <c r="E37" s="104"/>
      <c r="F37" s="118"/>
    </row>
    <row r="38" spans="2:6" ht="15.75">
      <c r="B38" s="6" t="str">
        <f>"            Cemetery   "&amp;REPT(".  ",255)</f>
        <v>            Cemetery 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38" s="38"/>
      <c r="D38" s="38"/>
      <c r="E38" s="100" t="s">
        <v>295</v>
      </c>
      <c r="F38" s="106"/>
    </row>
    <row r="39" spans="2:6" ht="15.75">
      <c r="B39" s="6" t="str">
        <f>"            Other health services (Include animal control)   "&amp;REPT(".  ",255)</f>
        <v>            Other health services (Include animal control) 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39" s="38"/>
      <c r="D39" s="38"/>
      <c r="E39" s="102" t="s">
        <v>296</v>
      </c>
      <c r="F39" s="103"/>
    </row>
    <row r="40" spans="2:6" ht="15.75">
      <c r="B40" s="6" t="str">
        <f>"            Human services   "&amp;REPT(".  ",255)</f>
        <v>            Human services 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40" s="38"/>
      <c r="D40" s="38"/>
      <c r="E40" s="102" t="s">
        <v>297</v>
      </c>
      <c r="F40" s="103"/>
    </row>
    <row r="41" spans="2:6" ht="15.75">
      <c r="B41" s="8" t="s">
        <v>298</v>
      </c>
      <c r="C41" s="37"/>
      <c r="D41" s="37"/>
      <c r="E41" s="104"/>
      <c r="F41" s="118"/>
    </row>
    <row r="42" spans="2:6" ht="15.75">
      <c r="B42" s="6" t="str">
        <f>"            Library   "&amp;REPT(".  ",255)</f>
        <v>            Library 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42" s="38"/>
      <c r="D42" s="38"/>
      <c r="E42" s="100" t="s">
        <v>299</v>
      </c>
      <c r="F42" s="106"/>
    </row>
    <row r="43" spans="2:6" ht="15.75">
      <c r="B43" s="6" t="str">
        <f>"            Parks   "&amp;REPT(".  ",255)</f>
        <v>            Parks 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43" s="38"/>
      <c r="D43" s="38"/>
      <c r="E43" s="102" t="s">
        <v>300</v>
      </c>
      <c r="F43" s="103"/>
    </row>
    <row r="44" spans="2:6" ht="15.75">
      <c r="B44" s="6" t="str">
        <f>"            Museum   "&amp;REPT(".  ",255)</f>
        <v>            Museum 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44" s="38"/>
      <c r="D44" s="38"/>
      <c r="E44" s="102" t="s">
        <v>301</v>
      </c>
      <c r="F44" s="103"/>
    </row>
    <row r="45" spans="2:6" ht="15.75">
      <c r="B45" s="6" t="str">
        <f>"            Zoo   "&amp;REPT(".  ",255)</f>
        <v>            Zoo 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45" s="38"/>
      <c r="D45" s="38"/>
      <c r="E45" s="102" t="s">
        <v>302</v>
      </c>
      <c r="F45" s="103"/>
    </row>
    <row r="46" spans="2:6" ht="15.75">
      <c r="B46" s="6" t="str">
        <f>"            Fairs, exhibits and celebrations   "&amp;REPT(".  ",255)</f>
        <v>            Fairs, exhibits and celebrations 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46" s="38"/>
      <c r="D46" s="38"/>
      <c r="E46" s="102" t="s">
        <v>303</v>
      </c>
      <c r="F46" s="103"/>
    </row>
    <row r="47" spans="2:6" ht="15.75">
      <c r="B47" s="6" t="str">
        <f>"            Auditorium, convention or civic center (theater)   "&amp;REPT(".  ",255)</f>
        <v>            Auditorium, convention or civic center (theater) 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47" s="38"/>
      <c r="D47" s="38"/>
      <c r="E47" s="102" t="s">
        <v>304</v>
      </c>
      <c r="F47" s="103"/>
    </row>
    <row r="48" spans="2:6" ht="15.75">
      <c r="B48" s="6" t="str">
        <f>"            Community center   "&amp;REPT(".  ",255)</f>
        <v>            Community center 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48" s="38"/>
      <c r="D48" s="38"/>
      <c r="E48" s="102" t="s">
        <v>305</v>
      </c>
      <c r="F48" s="103"/>
    </row>
    <row r="49" spans="2:6" ht="15.75">
      <c r="B49" s="6" t="str">
        <f>"            Other culture and recreation   "&amp;REPT(".  ",255)</f>
        <v>            Other culture and recreation 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49" s="38"/>
      <c r="D49" s="38"/>
      <c r="E49" s="102" t="s">
        <v>306</v>
      </c>
      <c r="F49" s="103"/>
    </row>
    <row r="50" spans="2:6" ht="15.75">
      <c r="B50" s="8" t="s">
        <v>307</v>
      </c>
      <c r="C50" s="37"/>
      <c r="D50" s="37"/>
      <c r="E50" s="104"/>
      <c r="F50" s="118"/>
    </row>
    <row r="51" spans="2:6" ht="15.75">
      <c r="B51" s="6" t="str">
        <f>"            Forests   "&amp;REPT(".  ",255)</f>
        <v>            Forests 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51" s="38"/>
      <c r="D51" s="38"/>
      <c r="E51" s="100" t="s">
        <v>308</v>
      </c>
      <c r="F51" s="106"/>
    </row>
    <row r="52" spans="2:6" ht="15.75">
      <c r="B52" s="6" t="str">
        <f>"            Other conservation   "&amp;REPT(".  ",255)</f>
        <v>            Other conservation 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52" s="38"/>
      <c r="D52" s="38"/>
      <c r="E52" s="102" t="s">
        <v>309</v>
      </c>
      <c r="F52" s="103"/>
    </row>
    <row r="53" spans="2:6" ht="15.75">
      <c r="B53" s="6" t="str">
        <f>"            Public housing   "&amp;REPT(".  ",255)</f>
        <v>            Public housing 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53" s="38"/>
      <c r="D53" s="38"/>
      <c r="E53" s="102" t="s">
        <v>310</v>
      </c>
      <c r="F53" s="103"/>
    </row>
    <row r="54" spans="2:6" ht="15.75">
      <c r="B54" s="6" t="str">
        <f>"            Urban development   "&amp;REPT(".  ",255)</f>
        <v>            Urban development 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54" s="38"/>
      <c r="D54" s="38"/>
      <c r="E54" s="102" t="s">
        <v>311</v>
      </c>
      <c r="F54" s="103"/>
    </row>
    <row r="55" spans="2:6" ht="15.75">
      <c r="B55" s="6" t="str">
        <f>"            Economic development   "&amp;REPT(".  ",255)</f>
        <v>            Economic development 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55" s="38"/>
      <c r="D55" s="38"/>
      <c r="E55" s="102" t="s">
        <v>312</v>
      </c>
      <c r="F55" s="103"/>
    </row>
    <row r="56" spans="2:6" ht="15.75">
      <c r="B56" s="6" t="s">
        <v>313</v>
      </c>
      <c r="C56" s="38"/>
      <c r="D56" s="38"/>
      <c r="E56" s="104"/>
      <c r="F56" s="118"/>
    </row>
    <row r="57" spans="2:6" ht="15.75">
      <c r="B57" s="21"/>
      <c r="C57" s="36"/>
      <c r="D57" s="40" t="s">
        <v>132</v>
      </c>
      <c r="E57" s="100" t="s">
        <v>314</v>
      </c>
      <c r="F57" s="106"/>
    </row>
    <row r="58" spans="2:6" ht="15.75">
      <c r="B58" s="6"/>
      <c r="C58" s="38"/>
      <c r="D58" s="38"/>
      <c r="E58" s="104"/>
      <c r="F58" s="118"/>
    </row>
    <row r="59" spans="2:6" ht="16.5" thickBot="1">
      <c r="B59" s="8" t="str">
        <f>"TOTAL PUBLIC CHARGES FOR SERVICES   "&amp;REPT(".  ",255)</f>
        <v>TOTAL PUBLIC CHARGES FOR SERVICES 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59" s="37"/>
      <c r="D59" s="37"/>
      <c r="E59" s="110" t="s">
        <v>315</v>
      </c>
      <c r="F59" s="111"/>
    </row>
  </sheetData>
  <printOptions/>
  <pageMargins left="0.75" right="0.75" top="1" bottom="1" header="0.5" footer="0.5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1:D65"/>
  <sheetViews>
    <sheetView workbookViewId="0" topLeftCell="A36">
      <selection activeCell="D36" sqref="C1:D16384"/>
    </sheetView>
  </sheetViews>
  <sheetFormatPr defaultColWidth="9.140625" defaultRowHeight="12.75"/>
  <cols>
    <col min="2" max="2" width="82.57421875" style="0" customWidth="1"/>
    <col min="3" max="3" width="14.421875" style="42" bestFit="1" customWidth="1"/>
    <col min="4" max="4" width="17.8515625" style="42" bestFit="1" customWidth="1"/>
  </cols>
  <sheetData>
    <row r="1" ht="15">
      <c r="B1" s="35" t="s">
        <v>316</v>
      </c>
    </row>
    <row r="2" ht="13.5" thickBot="1"/>
    <row r="3" spans="2:4" ht="17.25" thickBot="1" thickTop="1">
      <c r="B3" s="23" t="s">
        <v>216</v>
      </c>
      <c r="C3" s="59"/>
      <c r="D3" s="119"/>
    </row>
    <row r="4" spans="2:4" ht="16.5" thickTop="1">
      <c r="B4" s="23" t="str">
        <f>+'[1]Main'!$C$13&amp;+" SCHEDULE OF REVENUES AND EXPENDITURES"</f>
        <v>2004 SCHEDULE OF REVENUES AND EXPENDITURES</v>
      </c>
      <c r="C4" s="61"/>
      <c r="D4" s="120"/>
    </row>
    <row r="5" spans="2:4" ht="16.5" thickBot="1">
      <c r="B5" s="2" t="s">
        <v>217</v>
      </c>
      <c r="C5" s="115"/>
      <c r="D5" s="45">
        <f>+'[1]Main'!$C$13</f>
        <v>2004</v>
      </c>
    </row>
    <row r="6" spans="2:4" ht="16.5" thickTop="1">
      <c r="B6" s="13"/>
      <c r="C6" s="93"/>
      <c r="D6" s="46"/>
    </row>
    <row r="7" spans="2:4" ht="15.75">
      <c r="B7" s="27" t="s">
        <v>104</v>
      </c>
      <c r="C7" s="95" t="s">
        <v>105</v>
      </c>
      <c r="D7" s="47" t="s">
        <v>106</v>
      </c>
    </row>
    <row r="8" spans="2:4" ht="16.5" thickBot="1">
      <c r="B8" s="8"/>
      <c r="C8" s="95" t="s">
        <v>107</v>
      </c>
      <c r="D8" s="47" t="s">
        <v>108</v>
      </c>
    </row>
    <row r="9" spans="2:4" ht="16.5" thickTop="1">
      <c r="B9" s="16"/>
      <c r="C9" s="97"/>
      <c r="D9" s="94"/>
    </row>
    <row r="10" spans="2:4" ht="15.75">
      <c r="B10" s="8" t="s">
        <v>317</v>
      </c>
      <c r="C10" s="107"/>
      <c r="D10" s="99"/>
    </row>
    <row r="11" spans="2:4" ht="15.75">
      <c r="B11" s="8" t="s">
        <v>318</v>
      </c>
      <c r="C11" s="107"/>
      <c r="D11" s="99"/>
    </row>
    <row r="12" spans="2:4" ht="15.75">
      <c r="B12" s="8" t="s">
        <v>319</v>
      </c>
      <c r="C12" s="107"/>
      <c r="D12" s="99"/>
    </row>
    <row r="13" spans="2:4" ht="15.75">
      <c r="B13" s="6" t="str">
        <f>"          Law enforcement services   "&amp;REPT(".  ",255)</f>
        <v>          Law enforcement services 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13" s="100" t="s">
        <v>320</v>
      </c>
      <c r="D13" s="101"/>
    </row>
    <row r="14" spans="2:4" ht="15.75">
      <c r="B14" s="6" t="str">
        <f>"          Fire services   "&amp;REPT(".  ",255)</f>
        <v>          Fire services 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14" s="102" t="s">
        <v>321</v>
      </c>
      <c r="D14" s="103"/>
    </row>
    <row r="15" spans="2:4" ht="15.75">
      <c r="B15" s="6" t="str">
        <f>"          Transportation (highways and streets)   "&amp;REPT(".  ",255)</f>
        <v>          Transportation (highways and streets) 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15" s="102" t="s">
        <v>322</v>
      </c>
      <c r="D15" s="103"/>
    </row>
    <row r="16" spans="2:4" ht="15.75">
      <c r="B16" s="6" t="str">
        <f>"          Sewage service   "&amp;REPT(".  ",255)</f>
        <v>          Sewage service 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16" s="102" t="s">
        <v>323</v>
      </c>
      <c r="D16" s="103"/>
    </row>
    <row r="17" spans="2:4" ht="15.75">
      <c r="B17" s="6" t="str">
        <f>"          Public housing   "&amp;REPT(".  ",255)</f>
        <v>          Public housing 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17" s="102" t="s">
        <v>324</v>
      </c>
      <c r="D17" s="103"/>
    </row>
    <row r="18" spans="2:4" ht="15.75">
      <c r="B18" s="6" t="str">
        <f>"          Other services to federal government   "&amp;REPT(".  ",255)</f>
        <v>          Other services to federal government 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18" s="102" t="s">
        <v>325</v>
      </c>
      <c r="D18" s="103"/>
    </row>
    <row r="19" spans="2:4" ht="15.75">
      <c r="B19" s="6"/>
      <c r="C19" s="104"/>
      <c r="D19" s="118"/>
    </row>
    <row r="20" spans="2:4" ht="15.75">
      <c r="B20" s="8" t="s">
        <v>326</v>
      </c>
      <c r="C20" s="107"/>
      <c r="D20" s="99"/>
    </row>
    <row r="21" spans="2:4" ht="15.75">
      <c r="B21" s="8" t="s">
        <v>327</v>
      </c>
      <c r="C21" s="107"/>
      <c r="D21" s="99"/>
    </row>
    <row r="22" spans="2:4" ht="15.75">
      <c r="B22" s="6" t="str">
        <f>"          Law enforcement services   "&amp;REPT(".  ",255)</f>
        <v>          Law enforcement services 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22" s="100" t="s">
        <v>328</v>
      </c>
      <c r="D22" s="106"/>
    </row>
    <row r="23" spans="2:4" ht="15.75">
      <c r="B23" s="6" t="str">
        <f>"          Fire services   "&amp;REPT(".  ",255)</f>
        <v>          Fire services 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23" s="102" t="s">
        <v>329</v>
      </c>
      <c r="D23" s="103"/>
    </row>
    <row r="24" spans="2:4" ht="15.75">
      <c r="B24" s="6" t="str">
        <f>"          Transportation (highways and streets)   "&amp;REPT(".  ",255)</f>
        <v>          Transportation (highways and streets) 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24" s="102" t="s">
        <v>330</v>
      </c>
      <c r="D24" s="103"/>
    </row>
    <row r="25" spans="2:4" ht="15.75">
      <c r="B25" s="6" t="str">
        <f>"          Sewage service   "&amp;REPT(".  ",255)</f>
        <v>          Sewage service 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25" s="102" t="s">
        <v>331</v>
      </c>
      <c r="D25" s="103"/>
    </row>
    <row r="26" spans="2:4" ht="15.75">
      <c r="B26" s="6" t="str">
        <f>"          Public housing   "&amp;REPT(".  ",255)</f>
        <v>          Public housing 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26" s="102" t="s">
        <v>332</v>
      </c>
      <c r="D26" s="103"/>
    </row>
    <row r="27" spans="2:4" ht="15.75">
      <c r="B27" s="6" t="str">
        <f>"          Other services to state government   "&amp;REPT(".  ",255)</f>
        <v>          Other services to state government 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27" s="102" t="s">
        <v>333</v>
      </c>
      <c r="D27" s="103"/>
    </row>
    <row r="28" spans="2:4" ht="15.75">
      <c r="B28" s="6"/>
      <c r="C28" s="104"/>
      <c r="D28" s="118"/>
    </row>
    <row r="29" spans="2:4" ht="15.75">
      <c r="B29" s="8" t="s">
        <v>334</v>
      </c>
      <c r="C29" s="76"/>
      <c r="D29" s="99"/>
    </row>
    <row r="30" spans="2:4" ht="15.75">
      <c r="B30" s="6" t="str">
        <f>"          General government (Include school election reimbursement)   "&amp;REPT(".  ",255)</f>
        <v>          General government (Include school election reimbursement) 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30" s="113" t="s">
        <v>335</v>
      </c>
      <c r="D30" s="106"/>
    </row>
    <row r="31" spans="2:4" ht="15.75">
      <c r="B31" s="8" t="s">
        <v>319</v>
      </c>
      <c r="C31" s="76"/>
      <c r="D31" s="118"/>
    </row>
    <row r="32" spans="2:4" ht="15.75">
      <c r="B32" s="6" t="str">
        <f>"                          Law enforcement services   "&amp;REPT(".  ",255)</f>
        <v>                          Law enforcement services 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32" s="113" t="s">
        <v>336</v>
      </c>
      <c r="D32" s="106"/>
    </row>
    <row r="33" spans="2:4" ht="15.75">
      <c r="B33" s="6" t="str">
        <f>"                          Fire services   "&amp;REPT(".  ",255)</f>
        <v>                          Fire services 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33" s="81" t="s">
        <v>337</v>
      </c>
      <c r="D33" s="103"/>
    </row>
    <row r="34" spans="2:4" ht="15.75">
      <c r="B34" s="6" t="str">
        <f>"                          Ambulance\EMS services   "&amp;REPT(".  ",255)</f>
        <v>                          Ambulance\EMS services 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34" s="81" t="s">
        <v>338</v>
      </c>
      <c r="D34" s="103"/>
    </row>
    <row r="35" spans="2:4" ht="15.75">
      <c r="B35" s="6" t="str">
        <f>"                          Emergency communications (911) (law enforcement share)   "&amp;REPT(".  ",255)</f>
        <v>                          Emergency communications (911) (law enforcement share) 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35" s="81" t="s">
        <v>339</v>
      </c>
      <c r="D35" s="103"/>
    </row>
    <row r="36" spans="2:4" ht="15.75">
      <c r="B36" s="6" t="str">
        <f>"                          Emergency communications (911) (Exclude law enforcement share)   "&amp;REPT(".  ",255)</f>
        <v>                          Emergency communications (911) (Exclude law enforcement share) 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36" s="102" t="s">
        <v>340</v>
      </c>
      <c r="D36" s="103"/>
    </row>
    <row r="37" spans="2:4" ht="15.75">
      <c r="B37" s="6" t="str">
        <f>"          Transportation (highways and streets)   "&amp;REPT(".  ",255)</f>
        <v>          Transportation (highways and streets) 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37" s="102" t="s">
        <v>341</v>
      </c>
      <c r="D37" s="103"/>
    </row>
    <row r="38" spans="2:4" ht="15.75">
      <c r="B38" s="6" t="str">
        <f>"          Other transportation services   "&amp;REPT(".  ",255)</f>
        <v>          Other transportation services 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38" s="102" t="s">
        <v>342</v>
      </c>
      <c r="D38" s="103"/>
    </row>
    <row r="39" spans="2:4" ht="15.75">
      <c r="B39" s="8" t="s">
        <v>343</v>
      </c>
      <c r="C39" s="104"/>
      <c r="D39" s="118"/>
    </row>
    <row r="40" spans="2:4" ht="15.75">
      <c r="B40" s="6" t="str">
        <f>"                          Sewage Service   "&amp;REPT(".  ",255)</f>
        <v>                          Sewage Service 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40" s="100" t="s">
        <v>344</v>
      </c>
      <c r="D40" s="106"/>
    </row>
    <row r="41" spans="2:4" ht="15.75">
      <c r="B41" s="6" t="str">
        <f>"                          Refuse and garbage collection   "&amp;REPT(".  ",255)</f>
        <v>                          Refuse and garbage collection 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41" s="102" t="s">
        <v>345</v>
      </c>
      <c r="D41" s="103"/>
    </row>
    <row r="42" spans="2:4" ht="15.75">
      <c r="B42" s="6" t="str">
        <f>"                          Solid waste disposal   "&amp;REPT(".  ",255)</f>
        <v>                          Solid waste disposal 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42" s="102" t="s">
        <v>346</v>
      </c>
      <c r="D42" s="103"/>
    </row>
    <row r="43" spans="2:4" ht="15.75">
      <c r="B43" s="6" t="str">
        <f>"                          Recycling   "&amp;REPT(".  ",255)</f>
        <v>                          Recycling 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43" s="102" t="s">
        <v>347</v>
      </c>
      <c r="D43" s="103"/>
    </row>
    <row r="44" spans="2:4" ht="15.75">
      <c r="B44" s="6" t="str">
        <f>"          Public housing   "&amp;REPT(".  ",255)</f>
        <v>          Public housing 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44" s="102" t="s">
        <v>348</v>
      </c>
      <c r="D44" s="103"/>
    </row>
    <row r="45" spans="2:4" ht="15.75">
      <c r="B45" s="6" t="str">
        <f>"          Other services to other local governments   "&amp;REPT(".  ",255)</f>
        <v>          Other services to other local governments 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45" s="102" t="s">
        <v>349</v>
      </c>
      <c r="D45" s="103"/>
    </row>
    <row r="46" spans="2:4" ht="15.75">
      <c r="B46" s="6"/>
      <c r="C46" s="104"/>
      <c r="D46" s="118"/>
    </row>
    <row r="47" spans="2:4" ht="15.75">
      <c r="B47" s="6" t="str">
        <f>"          Local departments   "&amp;REPT(".  ",255)</f>
        <v>          Local departments 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47" s="100" t="s">
        <v>350</v>
      </c>
      <c r="D47" s="106"/>
    </row>
    <row r="48" spans="2:4" ht="15.75">
      <c r="B48" s="6"/>
      <c r="C48" s="104"/>
      <c r="D48" s="118"/>
    </row>
    <row r="49" spans="2:4" ht="15.75">
      <c r="B49" s="6"/>
      <c r="C49" s="107"/>
      <c r="D49" s="99"/>
    </row>
    <row r="50" spans="2:4" ht="16.5" thickBot="1">
      <c r="B50" s="8" t="str">
        <f>"TOTAL INTERGOVERNMENTAL CHARGES FOR SERVICES   "&amp;REPT(".  ",255)</f>
        <v>TOTAL INTERGOVERNMENTAL CHARGES FOR SERVICES 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50" s="110" t="s">
        <v>351</v>
      </c>
      <c r="D50" s="111"/>
    </row>
    <row r="51" spans="2:4" ht="15.75">
      <c r="B51" s="6"/>
      <c r="C51" s="38"/>
      <c r="D51" s="57"/>
    </row>
    <row r="52" spans="2:4" ht="15.75">
      <c r="B52" s="6"/>
      <c r="C52" s="38"/>
      <c r="D52" s="57"/>
    </row>
    <row r="53" spans="2:4" ht="15.75">
      <c r="B53" s="6"/>
      <c r="C53" s="38"/>
      <c r="D53" s="57"/>
    </row>
    <row r="54" spans="2:4" ht="15.75">
      <c r="B54" s="6"/>
      <c r="C54" s="38"/>
      <c r="D54" s="57"/>
    </row>
    <row r="55" spans="2:4" ht="15.75">
      <c r="B55" s="6"/>
      <c r="C55" s="38"/>
      <c r="D55" s="57"/>
    </row>
    <row r="56" spans="2:4" ht="15.75">
      <c r="B56" s="6"/>
      <c r="C56" s="38"/>
      <c r="D56" s="57"/>
    </row>
    <row r="57" spans="2:4" ht="15.75">
      <c r="B57" s="6"/>
      <c r="C57" s="38"/>
      <c r="D57" s="57"/>
    </row>
    <row r="58" spans="2:4" ht="15.75">
      <c r="B58" s="6"/>
      <c r="C58" s="38"/>
      <c r="D58" s="57"/>
    </row>
    <row r="59" spans="2:4" ht="15.75">
      <c r="B59" s="6"/>
      <c r="C59" s="38"/>
      <c r="D59" s="57"/>
    </row>
    <row r="60" spans="2:4" ht="15.75">
      <c r="B60" s="6"/>
      <c r="C60" s="38"/>
      <c r="D60" s="57"/>
    </row>
    <row r="61" spans="2:4" ht="15.75">
      <c r="B61" s="6"/>
      <c r="C61" s="38"/>
      <c r="D61" s="57"/>
    </row>
    <row r="62" spans="2:4" ht="15.75">
      <c r="B62" s="6"/>
      <c r="C62" s="38"/>
      <c r="D62" s="57"/>
    </row>
    <row r="63" spans="2:4" ht="15.75">
      <c r="B63" s="6"/>
      <c r="C63" s="38"/>
      <c r="D63" s="57"/>
    </row>
    <row r="64" spans="2:4" ht="15.75">
      <c r="B64" s="6"/>
      <c r="C64" s="38"/>
      <c r="D64" s="57"/>
    </row>
    <row r="65" spans="2:4" ht="16.5" thickBot="1">
      <c r="B65" s="25"/>
      <c r="C65" s="88"/>
      <c r="D65" s="58"/>
    </row>
    <row r="66" ht="13.5" thickTop="1"/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F65"/>
  <sheetViews>
    <sheetView workbookViewId="0" topLeftCell="A1">
      <selection activeCell="F1" sqref="C1:F16384"/>
    </sheetView>
  </sheetViews>
  <sheetFormatPr defaultColWidth="9.140625" defaultRowHeight="12.75"/>
  <cols>
    <col min="2" max="2" width="69.8515625" style="0" customWidth="1"/>
    <col min="3" max="3" width="9.7109375" style="42" bestFit="1" customWidth="1"/>
    <col min="4" max="4" width="11.7109375" style="42" bestFit="1" customWidth="1"/>
    <col min="5" max="5" width="14.421875" style="42" bestFit="1" customWidth="1"/>
    <col min="6" max="6" width="19.28125" style="42" bestFit="1" customWidth="1"/>
  </cols>
  <sheetData>
    <row r="1" ht="15">
      <c r="B1" s="12" t="s">
        <v>352</v>
      </c>
    </row>
    <row r="2" ht="13.5" thickBot="1"/>
    <row r="3" spans="2:6" ht="17.25" thickBot="1" thickTop="1">
      <c r="B3" s="23" t="s">
        <v>216</v>
      </c>
      <c r="C3" s="59"/>
      <c r="D3" s="59"/>
      <c r="E3" s="59"/>
      <c r="F3" s="91"/>
    </row>
    <row r="4" spans="2:6" ht="16.5" thickTop="1">
      <c r="B4" s="23" t="str">
        <f>+'[1]Main'!$C$13&amp;+" SCHEDULE OF REVENUES AND EXPENDITURES"</f>
        <v>2004 SCHEDULE OF REVENUES AND EXPENDITURES</v>
      </c>
      <c r="C4" s="59"/>
      <c r="D4" s="59"/>
      <c r="E4" s="61"/>
      <c r="F4" s="120"/>
    </row>
    <row r="5" spans="2:6" ht="16.5" thickBot="1">
      <c r="B5" s="2" t="s">
        <v>217</v>
      </c>
      <c r="C5" s="63"/>
      <c r="D5" s="63"/>
      <c r="E5" s="63"/>
      <c r="F5" s="45">
        <f>+'[1]Main'!$C$13</f>
        <v>2004</v>
      </c>
    </row>
    <row r="6" spans="2:6" ht="16.5" thickTop="1">
      <c r="B6" s="13"/>
      <c r="C6" s="92"/>
      <c r="D6" s="92"/>
      <c r="E6" s="93"/>
      <c r="F6" s="94"/>
    </row>
    <row r="7" spans="2:6" ht="15.75">
      <c r="B7" s="2" t="s">
        <v>104</v>
      </c>
      <c r="C7" s="63"/>
      <c r="D7" s="63"/>
      <c r="E7" s="95" t="s">
        <v>105</v>
      </c>
      <c r="F7" s="67" t="s">
        <v>106</v>
      </c>
    </row>
    <row r="8" spans="2:6" ht="16.5" thickBot="1">
      <c r="B8" s="8"/>
      <c r="C8" s="37"/>
      <c r="D8" s="37"/>
      <c r="E8" s="95" t="s">
        <v>107</v>
      </c>
      <c r="F8" s="67" t="s">
        <v>108</v>
      </c>
    </row>
    <row r="9" spans="2:6" ht="16.5" thickTop="1">
      <c r="B9" s="16"/>
      <c r="C9" s="117"/>
      <c r="D9" s="117"/>
      <c r="E9" s="97"/>
      <c r="F9" s="94"/>
    </row>
    <row r="10" spans="2:6" ht="15.75">
      <c r="B10" s="8" t="s">
        <v>353</v>
      </c>
      <c r="C10" s="37"/>
      <c r="D10" s="37"/>
      <c r="E10" s="98"/>
      <c r="F10" s="99"/>
    </row>
    <row r="11" spans="2:6" ht="15.75">
      <c r="B11" s="8" t="s">
        <v>354</v>
      </c>
      <c r="C11" s="37"/>
      <c r="D11" s="37"/>
      <c r="E11" s="98"/>
      <c r="F11" s="99"/>
    </row>
    <row r="12" spans="2:6" ht="15.75">
      <c r="B12" s="6" t="str">
        <f>"           Interest income   "&amp;REPT(".  ",255)</f>
        <v>           Interest income 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12" s="38"/>
      <c r="D12" s="38"/>
      <c r="E12" s="100" t="s">
        <v>355</v>
      </c>
      <c r="F12" s="101"/>
    </row>
    <row r="13" spans="2:6" ht="15.75">
      <c r="B13" s="6" t="s">
        <v>356</v>
      </c>
      <c r="C13" s="38"/>
      <c r="D13" s="38"/>
      <c r="E13" s="104"/>
      <c r="F13" s="118"/>
    </row>
    <row r="14" spans="2:6" ht="15.75">
      <c r="B14" s="6" t="str">
        <f>"             056-48130 on page 1)   "&amp;REPT(".  ",255)</f>
        <v>             056-48130 on page 1) 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14" s="38"/>
      <c r="D14" s="38"/>
      <c r="E14" s="100" t="s">
        <v>357</v>
      </c>
      <c r="F14" s="106"/>
    </row>
    <row r="15" spans="2:6" ht="15.75">
      <c r="B15" s="6" t="str">
        <f>"    Rent   "&amp;REPT(".  ",255)</f>
        <v>    Rent 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15" s="38"/>
      <c r="D15" s="38"/>
      <c r="E15" s="102" t="s">
        <v>358</v>
      </c>
      <c r="F15" s="103"/>
    </row>
    <row r="16" spans="2:6" ht="15.75">
      <c r="B16" s="8" t="s">
        <v>359</v>
      </c>
      <c r="C16" s="37"/>
      <c r="D16" s="37"/>
      <c r="E16" s="104"/>
      <c r="F16" s="118"/>
    </row>
    <row r="17" spans="2:6" ht="15.75">
      <c r="B17" s="6" t="str">
        <f>"           Sale of law enforcement equipment and property   "&amp;REPT(".  ",255)</f>
        <v>           Sale of law enforcement equipment and property 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17" s="38"/>
      <c r="D17" s="38"/>
      <c r="E17" s="100" t="s">
        <v>360</v>
      </c>
      <c r="F17" s="106"/>
    </row>
    <row r="18" spans="2:6" ht="15.75">
      <c r="B18" s="6" t="str">
        <f>"           Sale of fire and ambulance\EMS equipment and property   "&amp;REPT(".  ",255)</f>
        <v>           Sale of fire and ambulance\EMS equipment and property 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18" s="38"/>
      <c r="D18" s="38"/>
      <c r="E18" s="102" t="s">
        <v>361</v>
      </c>
      <c r="F18" s="103"/>
    </row>
    <row r="19" spans="2:6" ht="15.75">
      <c r="B19" s="6" t="str">
        <f>"           Sale of highway equipment and property   "&amp;REPT(".  ",255)</f>
        <v>           Sale of highway equipment and property 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19" s="38"/>
      <c r="D19" s="38"/>
      <c r="E19" s="102" t="s">
        <v>362</v>
      </c>
      <c r="F19" s="103"/>
    </row>
    <row r="20" spans="2:6" ht="15.75">
      <c r="B20" s="6" t="str">
        <f>"           Sale of refuse and garbage collection equipment and property   "&amp;REPT(".  ",255)</f>
        <v>           Sale of refuse and garbage collection equipment and property 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20" s="38"/>
      <c r="D20" s="38"/>
      <c r="E20" s="102" t="s">
        <v>363</v>
      </c>
      <c r="F20" s="103"/>
    </row>
    <row r="21" spans="2:6" ht="15.75">
      <c r="B21" s="6" t="str">
        <f>"           Sale of solid waste disposal equipment and property   "&amp;REPT(".  ",255)</f>
        <v>           Sale of solid waste disposal equipment and property 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21" s="38"/>
      <c r="D21" s="38"/>
      <c r="E21" s="102" t="s">
        <v>364</v>
      </c>
      <c r="F21" s="103"/>
    </row>
    <row r="22" spans="2:6" ht="15.75">
      <c r="B22" s="6" t="str">
        <f>"           Sale of recycling equipment and property   "&amp;REPT(".  ",255)</f>
        <v>           Sale of recycling equipment and property 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22" s="38"/>
      <c r="D22" s="38"/>
      <c r="E22" s="102" t="s">
        <v>365</v>
      </c>
      <c r="F22" s="103"/>
    </row>
    <row r="23" spans="2:6" ht="15.75">
      <c r="B23" s="6" t="str">
        <f>"           Sale of recyclable materials   "&amp;REPT(".  ",255)</f>
        <v>           Sale of recyclable materials 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23" s="38"/>
      <c r="D23" s="38"/>
      <c r="E23" s="102" t="s">
        <v>366</v>
      </c>
      <c r="F23" s="103"/>
    </row>
    <row r="24" spans="2:6" ht="15.75">
      <c r="B24" s="6" t="str">
        <f>"           Sale of other equipment and property   "&amp;REPT(".  ",255)</f>
        <v>           Sale of other equipment and property 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24" s="38"/>
      <c r="D24" s="38"/>
      <c r="E24" s="102" t="s">
        <v>367</v>
      </c>
      <c r="F24" s="103"/>
    </row>
    <row r="25" spans="2:6" ht="15.75">
      <c r="B25" s="8" t="s">
        <v>368</v>
      </c>
      <c r="C25" s="37"/>
      <c r="D25" s="37"/>
      <c r="E25" s="104"/>
      <c r="F25" s="118"/>
    </row>
    <row r="26" spans="2:6" ht="15.75">
      <c r="B26" s="6" t="s">
        <v>369</v>
      </c>
      <c r="C26" s="38"/>
      <c r="D26" s="38"/>
      <c r="E26" s="107"/>
      <c r="F26" s="99"/>
    </row>
    <row r="27" spans="2:6" ht="15.75">
      <c r="B27" s="6" t="str">
        <f>"             and property   "&amp;REPT(".  ",255)</f>
        <v>             and property 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27" s="38"/>
      <c r="D27" s="38"/>
      <c r="E27" s="100" t="s">
        <v>370</v>
      </c>
      <c r="F27" s="106"/>
    </row>
    <row r="28" spans="2:6" ht="15.75">
      <c r="B28" s="6" t="str">
        <f>"           Insurance recoveries for damage to highway equipment and property   "&amp;REPT(".  ",255)</f>
        <v>           Insurance recoveries for damage to highway equipment and property 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28" s="38"/>
      <c r="D28" s="38"/>
      <c r="E28" s="102" t="s">
        <v>371</v>
      </c>
      <c r="F28" s="103"/>
    </row>
    <row r="29" spans="2:6" ht="15.75">
      <c r="B29" s="6" t="str">
        <f>"           Insurance recoveries for damage to other equipment and property   "&amp;REPT(".  ",255)</f>
        <v>           Insurance recoveries for damage to other equipment and property 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29" s="38"/>
      <c r="D29" s="38"/>
      <c r="E29" s="102" t="s">
        <v>372</v>
      </c>
      <c r="F29" s="103"/>
    </row>
    <row r="30" spans="2:6" ht="15.75">
      <c r="B30" s="6" t="str">
        <f>"    Donations/contributions from private organizations or individuals   "&amp;REPT(".  ",255)</f>
        <v>    Donations/contributions from private organizations or individuals 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30" s="38"/>
      <c r="D30" s="38"/>
      <c r="E30" s="102" t="s">
        <v>373</v>
      </c>
      <c r="F30" s="103"/>
    </row>
    <row r="31" spans="2:6" ht="15.75">
      <c r="B31" s="6" t="s">
        <v>374</v>
      </c>
      <c r="C31" s="38"/>
      <c r="D31" s="38"/>
      <c r="E31" s="104"/>
      <c r="F31" s="118"/>
    </row>
    <row r="32" spans="2:6" ht="15.75">
      <c r="B32" s="21" t="s">
        <v>100</v>
      </c>
      <c r="C32" s="106"/>
      <c r="D32" s="38"/>
      <c r="E32" s="107"/>
      <c r="F32" s="99"/>
    </row>
    <row r="33" spans="2:6" ht="15.75">
      <c r="B33" s="21" t="s">
        <v>101</v>
      </c>
      <c r="C33" s="106"/>
      <c r="D33" s="40"/>
      <c r="E33" s="100" t="s">
        <v>375</v>
      </c>
      <c r="F33" s="106"/>
    </row>
    <row r="34" spans="2:6" ht="15.75">
      <c r="B34" s="6"/>
      <c r="C34" s="38"/>
      <c r="D34" s="38"/>
      <c r="E34" s="104"/>
      <c r="F34" s="118"/>
    </row>
    <row r="35" spans="2:6" ht="16.5" thickBot="1">
      <c r="B35" s="8" t="str">
        <f>"TOTAL MISCELLANEOUS REVENUES   "&amp;REPT(".  ",255)</f>
        <v>TOTAL MISCELLANEOUS REVENUES 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35" s="37"/>
      <c r="D35" s="37"/>
      <c r="E35" s="110" t="s">
        <v>376</v>
      </c>
      <c r="F35" s="111"/>
    </row>
    <row r="36" spans="2:6" ht="15.75">
      <c r="B36" s="6"/>
      <c r="C36" s="38"/>
      <c r="D36" s="38"/>
      <c r="E36" s="76"/>
      <c r="F36" s="121"/>
    </row>
    <row r="37" spans="2:6" ht="15.75">
      <c r="B37" s="8" t="s">
        <v>377</v>
      </c>
      <c r="C37" s="37"/>
      <c r="D37" s="37"/>
      <c r="E37" s="76"/>
      <c r="F37" s="121"/>
    </row>
    <row r="38" spans="2:6" ht="15.75">
      <c r="B38" s="6"/>
      <c r="C38" s="38"/>
      <c r="D38" s="38"/>
      <c r="E38" s="76"/>
      <c r="F38" s="121"/>
    </row>
    <row r="39" spans="2:6" ht="15.75">
      <c r="B39" s="6" t="str">
        <f>"    Proceeds from long-term debt   "&amp;REPT(".  ",255)</f>
        <v>    Proceeds from long-term debt 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39" s="38"/>
      <c r="D39" s="38"/>
      <c r="E39" s="100" t="s">
        <v>378</v>
      </c>
      <c r="F39" s="101"/>
    </row>
    <row r="40" spans="2:6" ht="15.75">
      <c r="B40" s="6" t="str">
        <f>"    Transfers from other funds (i.e. proprietary fund types)   "&amp;REPT(".  ",255)</f>
        <v>    Transfers from other funds (i.e. proprietary fund types) 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40" s="38"/>
      <c r="D40" s="38"/>
      <c r="E40" s="102" t="s">
        <v>379</v>
      </c>
      <c r="F40" s="103"/>
    </row>
    <row r="41" spans="2:6" ht="15.75">
      <c r="B41" s="6" t="str">
        <f>"    Sale of general fixed assets   "&amp;REPT(".  ",255)</f>
        <v>    Sale of general fixed assets 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41" s="38"/>
      <c r="D41" s="38"/>
      <c r="E41" s="102" t="s">
        <v>380</v>
      </c>
      <c r="F41" s="103"/>
    </row>
    <row r="42" spans="2:6" ht="15.75">
      <c r="B42" s="6" t="str">
        <f>"    Proceeds of refunding bonds   "&amp;REPT(".  ",255)</f>
        <v>    Proceeds of refunding bonds 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42" s="38"/>
      <c r="D42" s="38"/>
      <c r="E42" s="102" t="s">
        <v>381</v>
      </c>
      <c r="F42" s="103"/>
    </row>
    <row r="43" spans="2:6" ht="15.75">
      <c r="B43" s="6"/>
      <c r="C43" s="38"/>
      <c r="D43" s="38"/>
      <c r="E43" s="104"/>
      <c r="F43" s="118"/>
    </row>
    <row r="44" spans="2:6" ht="16.5" thickBot="1">
      <c r="B44" s="8" t="str">
        <f>"TOTAL OTHER FINANCING SOURCES   "&amp;REPT(".  ",255)</f>
        <v>TOTAL OTHER FINANCING SOURCES 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44" s="37"/>
      <c r="D44" s="37"/>
      <c r="E44" s="110" t="s">
        <v>382</v>
      </c>
      <c r="F44" s="111"/>
    </row>
    <row r="45" spans="2:6" ht="15.75">
      <c r="B45" s="6"/>
      <c r="C45" s="38"/>
      <c r="D45" s="38"/>
      <c r="E45" s="66"/>
      <c r="F45" s="121"/>
    </row>
    <row r="46" spans="2:6" ht="15.75">
      <c r="B46" s="8" t="s">
        <v>383</v>
      </c>
      <c r="C46" s="37"/>
      <c r="D46" s="37"/>
      <c r="E46" s="95"/>
      <c r="F46" s="99"/>
    </row>
    <row r="47" spans="2:6" ht="16.5" thickBot="1">
      <c r="B47" s="8" t="str">
        <f>"(Sum of pages 2 through 6)     "&amp;REPT(".  ",255)</f>
        <v>(Sum of pages 2 through 6)   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47" s="37"/>
      <c r="D47" s="37"/>
      <c r="E47" s="110" t="s">
        <v>384</v>
      </c>
      <c r="F47" s="111"/>
    </row>
    <row r="48" spans="2:6" ht="15.75">
      <c r="B48" s="6"/>
      <c r="C48" s="38"/>
      <c r="D48" s="38"/>
      <c r="E48" s="38"/>
      <c r="F48" s="121"/>
    </row>
    <row r="49" spans="2:6" ht="15.75">
      <c r="B49" s="6"/>
      <c r="C49" s="38"/>
      <c r="D49" s="38"/>
      <c r="E49" s="38"/>
      <c r="F49" s="121"/>
    </row>
    <row r="50" spans="2:6" ht="15.75">
      <c r="B50" s="6"/>
      <c r="C50" s="38"/>
      <c r="D50" s="38"/>
      <c r="E50" s="38"/>
      <c r="F50" s="121"/>
    </row>
    <row r="51" spans="2:6" ht="15.75">
      <c r="B51" s="6"/>
      <c r="C51" s="38"/>
      <c r="D51" s="38"/>
      <c r="E51" s="38"/>
      <c r="F51" s="121"/>
    </row>
    <row r="52" spans="2:6" ht="15.75">
      <c r="B52" s="6"/>
      <c r="C52" s="38"/>
      <c r="D52" s="38"/>
      <c r="E52" s="38"/>
      <c r="F52" s="121"/>
    </row>
    <row r="53" spans="2:6" ht="15.75">
      <c r="B53" s="6"/>
      <c r="C53" s="38"/>
      <c r="D53" s="38"/>
      <c r="E53" s="38"/>
      <c r="F53" s="121"/>
    </row>
    <row r="54" spans="2:6" ht="15.75">
      <c r="B54" s="6"/>
      <c r="C54" s="38"/>
      <c r="D54" s="38"/>
      <c r="E54" s="38"/>
      <c r="F54" s="121"/>
    </row>
    <row r="55" spans="2:6" ht="15.75">
      <c r="B55" s="6"/>
      <c r="C55" s="38"/>
      <c r="D55" s="38"/>
      <c r="E55" s="38"/>
      <c r="F55" s="121"/>
    </row>
    <row r="56" spans="2:6" ht="15.75">
      <c r="B56" s="6"/>
      <c r="C56" s="38"/>
      <c r="D56" s="38"/>
      <c r="E56" s="38"/>
      <c r="F56" s="121"/>
    </row>
    <row r="57" spans="2:6" ht="15.75">
      <c r="B57" s="6"/>
      <c r="C57" s="38"/>
      <c r="D57" s="38"/>
      <c r="E57" s="38"/>
      <c r="F57" s="121"/>
    </row>
    <row r="58" spans="2:6" ht="15.75">
      <c r="B58" s="6"/>
      <c r="C58" s="38"/>
      <c r="D58" s="38"/>
      <c r="E58" s="38"/>
      <c r="F58" s="121"/>
    </row>
    <row r="59" spans="2:6" ht="15.75">
      <c r="B59" s="6"/>
      <c r="C59" s="38"/>
      <c r="D59" s="38"/>
      <c r="E59" s="38"/>
      <c r="F59" s="121"/>
    </row>
    <row r="60" spans="2:6" ht="15.75">
      <c r="B60" s="6"/>
      <c r="C60" s="38"/>
      <c r="D60" s="38"/>
      <c r="E60" s="38"/>
      <c r="F60" s="121"/>
    </row>
    <row r="61" spans="2:6" ht="15.75">
      <c r="B61" s="6"/>
      <c r="C61" s="38"/>
      <c r="D61" s="38"/>
      <c r="E61" s="38"/>
      <c r="F61" s="121"/>
    </row>
    <row r="62" spans="2:6" ht="15.75">
      <c r="B62" s="6"/>
      <c r="C62" s="38"/>
      <c r="D62" s="38"/>
      <c r="E62" s="38"/>
      <c r="F62" s="121"/>
    </row>
    <row r="63" spans="2:6" ht="15.75">
      <c r="B63" s="6"/>
      <c r="C63" s="38"/>
      <c r="D63" s="38"/>
      <c r="E63" s="38"/>
      <c r="F63" s="121"/>
    </row>
    <row r="64" spans="2:6" ht="15.75">
      <c r="B64" s="6"/>
      <c r="C64" s="38"/>
      <c r="D64" s="38"/>
      <c r="E64" s="38"/>
      <c r="F64" s="121"/>
    </row>
    <row r="65" spans="2:6" ht="16.5" thickBot="1">
      <c r="B65" s="25"/>
      <c r="C65" s="88"/>
      <c r="D65" s="88"/>
      <c r="E65" s="88"/>
      <c r="F65" s="114"/>
    </row>
    <row r="66" ht="13.5" thickTop="1"/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F66"/>
  <sheetViews>
    <sheetView workbookViewId="0" topLeftCell="A40">
      <selection activeCell="F40" sqref="C1:F16384"/>
    </sheetView>
  </sheetViews>
  <sheetFormatPr defaultColWidth="9.140625" defaultRowHeight="12.75"/>
  <cols>
    <col min="2" max="2" width="69.8515625" style="0" customWidth="1"/>
    <col min="3" max="3" width="9.140625" style="42" customWidth="1"/>
    <col min="4" max="4" width="11.7109375" style="42" bestFit="1" customWidth="1"/>
    <col min="5" max="5" width="13.8515625" style="42" bestFit="1" customWidth="1"/>
    <col min="6" max="6" width="19.28125" style="42" bestFit="1" customWidth="1"/>
  </cols>
  <sheetData>
    <row r="1" ht="15">
      <c r="B1" s="12" t="s">
        <v>385</v>
      </c>
    </row>
    <row r="2" ht="13.5" thickBot="1"/>
    <row r="3" spans="2:6" ht="17.25" thickBot="1" thickTop="1">
      <c r="B3" s="23" t="s">
        <v>216</v>
      </c>
      <c r="C3" s="59"/>
      <c r="D3" s="59"/>
      <c r="E3" s="59"/>
      <c r="F3" s="91"/>
    </row>
    <row r="4" spans="2:6" ht="16.5" thickTop="1">
      <c r="B4" s="23" t="str">
        <f>+'[1]Main'!$C$13&amp;+" SCHEDULE OF REVENUES AND EXPENDITURES"</f>
        <v>2004 SCHEDULE OF REVENUES AND EXPENDITURES</v>
      </c>
      <c r="C4" s="59"/>
      <c r="D4" s="59"/>
      <c r="E4" s="59"/>
      <c r="F4" s="122"/>
    </row>
    <row r="5" spans="2:6" ht="16.5" thickBot="1">
      <c r="B5" s="2" t="s">
        <v>217</v>
      </c>
      <c r="C5" s="63"/>
      <c r="D5" s="63"/>
      <c r="E5" s="63"/>
      <c r="F5" s="116">
        <f>+'[1]Main'!$C$13</f>
        <v>2004</v>
      </c>
    </row>
    <row r="6" spans="2:6" ht="16.5" thickTop="1">
      <c r="B6" s="1"/>
      <c r="C6" s="64"/>
      <c r="D6" s="64"/>
      <c r="E6" s="123"/>
      <c r="F6" s="62"/>
    </row>
    <row r="7" spans="2:6" ht="15.75">
      <c r="B7" s="2" t="s">
        <v>104</v>
      </c>
      <c r="C7" s="63"/>
      <c r="D7" s="63"/>
      <c r="E7" s="95" t="s">
        <v>105</v>
      </c>
      <c r="F7" s="67" t="s">
        <v>106</v>
      </c>
    </row>
    <row r="8" spans="2:6" ht="16.5" thickBot="1">
      <c r="B8" s="8"/>
      <c r="C8" s="37"/>
      <c r="D8" s="37"/>
      <c r="E8" s="95" t="s">
        <v>107</v>
      </c>
      <c r="F8" s="67" t="s">
        <v>108</v>
      </c>
    </row>
    <row r="9" spans="2:6" ht="16.5" thickTop="1">
      <c r="B9" s="16"/>
      <c r="C9" s="117"/>
      <c r="D9" s="117"/>
      <c r="E9" s="97"/>
      <c r="F9" s="94"/>
    </row>
    <row r="10" spans="2:6" ht="15.75">
      <c r="B10" s="2" t="s">
        <v>386</v>
      </c>
      <c r="C10" s="63"/>
      <c r="D10" s="63"/>
      <c r="E10" s="98"/>
      <c r="F10" s="99"/>
    </row>
    <row r="11" spans="2:6" ht="15.75">
      <c r="B11" s="8" t="s">
        <v>387</v>
      </c>
      <c r="C11" s="37"/>
      <c r="D11" s="37"/>
      <c r="E11" s="98"/>
      <c r="F11" s="99"/>
    </row>
    <row r="12" spans="2:6" ht="15.75">
      <c r="B12" s="6" t="str">
        <f>"    Legislative (Board)   "&amp;REPT(".  ",255)</f>
        <v>    Legislative (Board) 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12" s="38"/>
      <c r="D12" s="38"/>
      <c r="E12" s="100" t="s">
        <v>388</v>
      </c>
      <c r="F12" s="101"/>
    </row>
    <row r="13" spans="2:6" ht="15.75">
      <c r="B13" s="6" t="str">
        <f>"    Judicial   "&amp;REPT(".  ",255)</f>
        <v>    Judicial 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13" s="38"/>
      <c r="D13" s="38"/>
      <c r="E13" s="102" t="s">
        <v>389</v>
      </c>
      <c r="F13" s="103"/>
    </row>
    <row r="14" spans="2:6" ht="15.75">
      <c r="B14" s="6" t="str">
        <f>"    Legal   "&amp;REPT(".  ",255)</f>
        <v>    Legal 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14" s="38"/>
      <c r="D14" s="38"/>
      <c r="E14" s="102" t="s">
        <v>390</v>
      </c>
      <c r="F14" s="103"/>
    </row>
    <row r="15" spans="2:6" ht="15.75">
      <c r="B15" s="6" t="str">
        <f>"    General administration (Include clerk and election)   "&amp;REPT(".  ",255)</f>
        <v>    General administration (Include clerk and election) 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15" s="38"/>
      <c r="D15" s="38"/>
      <c r="E15" s="102" t="s">
        <v>391</v>
      </c>
      <c r="F15" s="103"/>
    </row>
    <row r="16" spans="2:6" ht="15.75">
      <c r="B16" s="6" t="str">
        <f>"    Financial administration (Include treasurer and assessor)   "&amp;REPT(".  ",255)</f>
        <v>    Financial administration (Include treasurer and assessor) 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16" s="38"/>
      <c r="D16" s="38"/>
      <c r="E16" s="102" t="s">
        <v>392</v>
      </c>
      <c r="F16" s="103"/>
    </row>
    <row r="17" spans="2:6" ht="15.75">
      <c r="B17" s="6" t="str">
        <f>"    General buildings and plant (Hall) (Allocate highway &amp; public safety)   "&amp;REPT(".  ",255)</f>
        <v>    General buildings and plant (Hall) (Allocate highway &amp; public safety) 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17" s="38"/>
      <c r="D17" s="38"/>
      <c r="E17" s="102" t="s">
        <v>393</v>
      </c>
      <c r="F17" s="103"/>
    </row>
    <row r="18" spans="2:6" ht="15.75">
      <c r="B18" s="8" t="s">
        <v>394</v>
      </c>
      <c r="C18" s="37"/>
      <c r="D18" s="37"/>
      <c r="E18" s="104"/>
      <c r="F18" s="118"/>
    </row>
    <row r="19" spans="2:6" ht="15.75">
      <c r="B19" s="6" t="str">
        <f>"           Illegal taxes, tax refunds and uncollectible taxes, sp. assessments   "&amp;REPT(".  ",255)</f>
        <v>           Illegal taxes, tax refunds and uncollectible taxes, sp. assessments 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19" s="38"/>
      <c r="D19" s="38"/>
      <c r="E19" s="100" t="s">
        <v>395</v>
      </c>
      <c r="F19" s="106"/>
    </row>
    <row r="20" spans="2:6" ht="15.75">
      <c r="B20" s="21" t="s">
        <v>102</v>
      </c>
      <c r="C20" s="38"/>
      <c r="D20" s="38"/>
      <c r="E20" s="100"/>
      <c r="F20" s="106"/>
    </row>
    <row r="21" spans="2:6" ht="15.75">
      <c r="B21" s="6" t="str">
        <f>"           Judgments and losses   "&amp;REPT(".  ",255)</f>
        <v>           Judgments and losses 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21" s="38"/>
      <c r="D21" s="38"/>
      <c r="E21" s="102" t="s">
        <v>396</v>
      </c>
      <c r="F21" s="103"/>
    </row>
    <row r="22" spans="2:6" ht="15.75">
      <c r="B22" s="6" t="str">
        <f>"           Law enforcement insurance   "&amp;REPT(".  ",255)</f>
        <v>           Law enforcement insurance 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22" s="38"/>
      <c r="D22" s="38"/>
      <c r="E22" s="102" t="s">
        <v>397</v>
      </c>
      <c r="F22" s="103"/>
    </row>
    <row r="23" spans="2:6" ht="15.75">
      <c r="B23" s="6" t="str">
        <f>"           Highway insurance   "&amp;REPT(".  ",255)</f>
        <v>           Highway insurance 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23" s="38"/>
      <c r="D23" s="38"/>
      <c r="E23" s="102" t="s">
        <v>398</v>
      </c>
      <c r="F23" s="103"/>
    </row>
    <row r="24" spans="2:6" ht="15.75">
      <c r="B24" s="6" t="str">
        <f>"           Other insurance   "&amp;REPT(".  ",255)</f>
        <v>           Other insurance 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24" s="38"/>
      <c r="D24" s="38"/>
      <c r="E24" s="102" t="s">
        <v>399</v>
      </c>
      <c r="F24" s="103"/>
    </row>
    <row r="25" spans="2:6" ht="15.75">
      <c r="B25" s="6" t="s">
        <v>400</v>
      </c>
      <c r="C25" s="38"/>
      <c r="D25" s="38"/>
      <c r="E25" s="104"/>
      <c r="F25" s="118"/>
    </row>
    <row r="26" spans="2:6" ht="15.75">
      <c r="B26" s="21" t="s">
        <v>103</v>
      </c>
      <c r="C26" s="36"/>
      <c r="D26" s="40" t="s">
        <v>132</v>
      </c>
      <c r="E26" s="100" t="s">
        <v>401</v>
      </c>
      <c r="F26" s="106"/>
    </row>
    <row r="27" spans="2:6" ht="15.75">
      <c r="B27" s="6"/>
      <c r="C27" s="38"/>
      <c r="D27" s="38"/>
      <c r="E27" s="104"/>
      <c r="F27" s="118"/>
    </row>
    <row r="28" spans="2:6" ht="16.5" thickBot="1">
      <c r="B28" s="8" t="str">
        <f>"TOTAL GENERAL GOVERNMENT   "&amp;REPT(".  ",255)</f>
        <v>TOTAL GENERAL GOVERNMENT 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28" s="37"/>
      <c r="D28" s="37"/>
      <c r="E28" s="100" t="s">
        <v>402</v>
      </c>
      <c r="F28" s="111"/>
    </row>
    <row r="29" spans="2:6" ht="15.75">
      <c r="B29" s="6"/>
      <c r="C29" s="38"/>
      <c r="D29" s="38"/>
      <c r="E29" s="76"/>
      <c r="F29" s="121"/>
    </row>
    <row r="30" spans="2:6" ht="15.75">
      <c r="B30" s="8" t="s">
        <v>403</v>
      </c>
      <c r="C30" s="37"/>
      <c r="D30" s="37"/>
      <c r="E30" s="76"/>
      <c r="F30" s="121"/>
    </row>
    <row r="31" spans="2:6" ht="15.75">
      <c r="B31" s="6" t="str">
        <f>"    Law enforcement     "&amp;REPT(".  ",255)</f>
        <v>    Law enforcement   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31" s="38"/>
      <c r="D31" s="38"/>
      <c r="E31" s="100" t="s">
        <v>404</v>
      </c>
      <c r="F31" s="101"/>
    </row>
    <row r="32" spans="2:6" ht="15.75">
      <c r="B32" s="6" t="str">
        <f>"    Fire protection   "&amp;REPT(".  ",255)</f>
        <v>    Fire protection 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32" s="38"/>
      <c r="D32" s="38"/>
      <c r="E32" s="102" t="s">
        <v>405</v>
      </c>
      <c r="F32" s="103"/>
    </row>
    <row r="33" spans="2:6" ht="15.75">
      <c r="B33" s="6" t="str">
        <f>"    Ambulance\EMS   "&amp;REPT(".  ",255)</f>
        <v>    Ambulance\EMS 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33" s="38"/>
      <c r="D33" s="38"/>
      <c r="E33" s="102" t="s">
        <v>406</v>
      </c>
      <c r="F33" s="103"/>
    </row>
    <row r="34" spans="2:6" ht="15.75">
      <c r="B34" s="6" t="str">
        <f>"    Inspection   "&amp;REPT(".  ",255)</f>
        <v>    Inspection 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34" s="38"/>
      <c r="D34" s="38"/>
      <c r="E34" s="102" t="s">
        <v>407</v>
      </c>
      <c r="F34" s="103"/>
    </row>
    <row r="35" spans="2:6" ht="15.75">
      <c r="B35" s="6" t="str">
        <f>"    Emergency communication (911) (law enforcement share)   "&amp;REPT(".  ",255)</f>
        <v>    Emergency communication (911) (law enforcement share) 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35" s="38"/>
      <c r="D35" s="38"/>
      <c r="E35" s="102" t="s">
        <v>408</v>
      </c>
      <c r="F35" s="103"/>
    </row>
    <row r="36" spans="2:6" ht="15.75">
      <c r="B36" s="6" t="str">
        <f>"    Emergency communication (911) (Exclude law enforcement share)   "&amp;REPT(".  ",255)</f>
        <v>    Emergency communication (911) (Exclude law enforcement share) 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36" s="38"/>
      <c r="D36" s="38"/>
      <c r="E36" s="102" t="s">
        <v>409</v>
      </c>
      <c r="F36" s="103"/>
    </row>
    <row r="37" spans="2:6" ht="15.75">
      <c r="B37" s="6" t="str">
        <f>"    Correction and detention (Jail)    "&amp;REPT(".  ",255)</f>
        <v>    Correction and detention (Jail)  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37" s="38"/>
      <c r="D37" s="38"/>
      <c r="E37" s="102" t="s">
        <v>410</v>
      </c>
      <c r="F37" s="103"/>
    </row>
    <row r="38" spans="2:6" ht="15.75">
      <c r="B38" s="6" t="str">
        <f>"    Other public safety   "&amp;REPT(".  ",255)</f>
        <v>    Other public safety 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38" s="38"/>
      <c r="D38" s="38"/>
      <c r="E38" s="102" t="s">
        <v>411</v>
      </c>
      <c r="F38" s="103"/>
    </row>
    <row r="39" spans="2:6" ht="15.75">
      <c r="B39" s="6" t="s">
        <v>412</v>
      </c>
      <c r="C39" s="38"/>
      <c r="D39" s="38"/>
      <c r="E39" s="104"/>
      <c r="F39" s="118"/>
    </row>
    <row r="40" spans="2:6" ht="16.5" thickBot="1">
      <c r="B40" s="6" t="str">
        <f>"TOTAL PUBLIC SAFETY   "&amp;REPT(".  ",255)</f>
        <v>TOTAL PUBLIC SAFETY 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40" s="38"/>
      <c r="D40" s="38"/>
      <c r="E40" s="100" t="s">
        <v>413</v>
      </c>
      <c r="F40" s="111"/>
    </row>
    <row r="41" spans="2:6" ht="15.75">
      <c r="B41" s="6"/>
      <c r="C41" s="38"/>
      <c r="D41" s="38"/>
      <c r="E41" s="76"/>
      <c r="F41" s="121"/>
    </row>
    <row r="42" spans="2:6" ht="15.75">
      <c r="B42" s="8" t="s">
        <v>414</v>
      </c>
      <c r="C42" s="37"/>
      <c r="D42" s="37"/>
      <c r="E42" s="76"/>
      <c r="F42" s="121"/>
    </row>
    <row r="43" spans="2:6" ht="15.75">
      <c r="B43" s="8" t="s">
        <v>415</v>
      </c>
      <c r="C43" s="37"/>
      <c r="D43" s="37"/>
      <c r="E43" s="107"/>
      <c r="F43" s="99"/>
    </row>
    <row r="44" spans="2:6" ht="15.75">
      <c r="B44" s="6" t="str">
        <f>"    Administration for highways and streets   "&amp;REPT(".  ",255)</f>
        <v>    Administration for highways and streets 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44" s="38"/>
      <c r="D44" s="38"/>
      <c r="E44" s="100" t="s">
        <v>416</v>
      </c>
      <c r="F44" s="101"/>
    </row>
    <row r="45" spans="2:6" ht="15.75">
      <c r="B45" s="8" t="s">
        <v>417</v>
      </c>
      <c r="C45" s="37"/>
      <c r="D45" s="37"/>
      <c r="E45" s="104"/>
      <c r="F45" s="118"/>
    </row>
    <row r="46" spans="2:6" ht="15.75">
      <c r="B46" s="6" t="str">
        <f>"           Highway and street maintenance for local   "&amp;REPT(".  ",255)</f>
        <v>           Highway and street maintenance for local 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46" s="38"/>
      <c r="D46" s="38"/>
      <c r="E46" s="100" t="s">
        <v>418</v>
      </c>
      <c r="F46" s="106"/>
    </row>
    <row r="47" spans="2:6" ht="15.75">
      <c r="B47" s="6" t="str">
        <f>"           Highway and street construction for local   "&amp;REPT(".  ",255)</f>
        <v>           Highway and street construction for local 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47" s="38"/>
      <c r="D47" s="38"/>
      <c r="E47" s="102" t="s">
        <v>419</v>
      </c>
      <c r="F47" s="103"/>
    </row>
    <row r="48" spans="2:6" ht="15.75">
      <c r="B48" s="6" t="str">
        <f>"           State (highway maintenance and construction)   "&amp;REPT(".  ",255)</f>
        <v>           State (highway maintenance and construction) 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48" s="38"/>
      <c r="D48" s="38"/>
      <c r="E48" s="102" t="s">
        <v>420</v>
      </c>
      <c r="F48" s="103"/>
    </row>
    <row r="49" spans="2:6" ht="15.75">
      <c r="B49" s="6" t="str">
        <f>"           Other local governments (highway and street maint. &amp; construction)   "&amp;REPT(".  ",255)</f>
        <v>           Other local governments (highway and street maint. &amp; construction) 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49" s="38"/>
      <c r="D49" s="38"/>
      <c r="E49" s="102" t="s">
        <v>421</v>
      </c>
      <c r="F49" s="103"/>
    </row>
    <row r="50" spans="2:6" ht="15.75">
      <c r="B50" s="8" t="s">
        <v>422</v>
      </c>
      <c r="C50" s="37"/>
      <c r="D50" s="37"/>
      <c r="E50" s="104"/>
      <c r="F50" s="118"/>
    </row>
    <row r="51" spans="2:6" ht="15.75">
      <c r="B51" s="6" t="str">
        <f>"           Limited purpose roads   "&amp;REPT(".  ",255)</f>
        <v>           Limited purpose roads 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51" s="38"/>
      <c r="D51" s="38"/>
      <c r="E51" s="100" t="s">
        <v>423</v>
      </c>
      <c r="F51" s="106"/>
    </row>
    <row r="52" spans="2:6" ht="15.75">
      <c r="B52" s="6" t="str">
        <f>"           Street (highway) lighting   "&amp;REPT(".  ",255)</f>
        <v>           Street (highway) lighting 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52" s="38"/>
      <c r="D52" s="38"/>
      <c r="E52" s="102" t="s">
        <v>424</v>
      </c>
      <c r="F52" s="103"/>
    </row>
    <row r="53" spans="2:6" ht="15.75">
      <c r="B53" s="6" t="str">
        <f>"           Sidewalks maintenance and replacement with street reconstruction   "&amp;REPT(".  ",255)</f>
        <v>           Sidewalks maintenance and replacement with street reconstruction 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53" s="38"/>
      <c r="D53" s="38"/>
      <c r="E53" s="102" t="s">
        <v>425</v>
      </c>
      <c r="F53" s="103"/>
    </row>
    <row r="54" spans="2:6" ht="15.75">
      <c r="B54" s="6" t="str">
        <f>"           New sidewalk constr. and replacement without street reconstruction   "&amp;REPT(".  ",255)</f>
        <v>           New sidewalk constr. and replacement without street reconstruction 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54" s="38"/>
      <c r="D54" s="38"/>
      <c r="E54" s="102" t="s">
        <v>426</v>
      </c>
      <c r="F54" s="103"/>
    </row>
    <row r="55" spans="2:6" ht="15.75">
      <c r="B55" s="6" t="str">
        <f>"           Storm sewer maintenance          "&amp;REPT(".  ",255)</f>
        <v>           Storm sewer maintenance        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55" s="38"/>
      <c r="D55" s="38"/>
      <c r="E55" s="102" t="s">
        <v>427</v>
      </c>
      <c r="F55" s="103"/>
    </row>
    <row r="56" spans="2:6" ht="15.75">
      <c r="B56" s="6" t="str">
        <f>"           Storm sewer construction   "&amp;REPT(".  ",255)</f>
        <v>           Storm sewer construction 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56" s="38"/>
      <c r="D56" s="38"/>
      <c r="E56" s="102" t="s">
        <v>428</v>
      </c>
      <c r="F56" s="103"/>
    </row>
    <row r="57" spans="2:6" ht="15.75">
      <c r="B57" s="6" t="str">
        <f>"           Parking facilities   "&amp;REPT(".  ",255)</f>
        <v>           Parking facilities 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57" s="38"/>
      <c r="D57" s="38"/>
      <c r="E57" s="102" t="s">
        <v>429</v>
      </c>
      <c r="F57" s="103"/>
    </row>
    <row r="58" spans="2:6" ht="15.75">
      <c r="B58" s="6"/>
      <c r="C58" s="38"/>
      <c r="D58" s="38"/>
      <c r="E58" s="71"/>
      <c r="F58" s="124"/>
    </row>
    <row r="59" spans="2:6" ht="15.75">
      <c r="B59" s="6"/>
      <c r="C59" s="38"/>
      <c r="D59" s="38"/>
      <c r="E59" s="38"/>
      <c r="F59" s="121"/>
    </row>
    <row r="60" spans="2:6" ht="15.75">
      <c r="B60" s="6"/>
      <c r="C60" s="38"/>
      <c r="D60" s="38"/>
      <c r="E60" s="38"/>
      <c r="F60" s="121"/>
    </row>
    <row r="61" spans="2:6" ht="15.75">
      <c r="B61" s="6"/>
      <c r="C61" s="38"/>
      <c r="D61" s="38"/>
      <c r="E61" s="38"/>
      <c r="F61" s="121"/>
    </row>
    <row r="62" spans="2:6" ht="15.75">
      <c r="B62" s="6"/>
      <c r="C62" s="38"/>
      <c r="D62" s="38"/>
      <c r="E62" s="38"/>
      <c r="F62" s="121"/>
    </row>
    <row r="63" spans="2:6" ht="15.75">
      <c r="B63" s="6"/>
      <c r="C63" s="38"/>
      <c r="D63" s="38"/>
      <c r="E63" s="38"/>
      <c r="F63" s="121"/>
    </row>
    <row r="64" spans="2:6" ht="15.75">
      <c r="B64" s="6"/>
      <c r="C64" s="38"/>
      <c r="D64" s="38"/>
      <c r="E64" s="38"/>
      <c r="F64" s="121"/>
    </row>
    <row r="65" spans="2:6" ht="15.75">
      <c r="B65" s="6"/>
      <c r="C65" s="38"/>
      <c r="D65" s="38"/>
      <c r="E65" s="38"/>
      <c r="F65" s="121"/>
    </row>
    <row r="66" spans="2:6" ht="16.5" thickBot="1">
      <c r="B66" s="25"/>
      <c r="C66" s="88"/>
      <c r="D66" s="88"/>
      <c r="E66" s="88"/>
      <c r="F66" s="114"/>
    </row>
    <row r="67" ht="13.5" thickTop="1"/>
  </sheetData>
  <printOptions/>
  <pageMargins left="0.75" right="0.75" top="1" bottom="1" header="0.5" footer="0.5"/>
  <pageSetup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B1:F65"/>
  <sheetViews>
    <sheetView workbookViewId="0" topLeftCell="A40">
      <selection activeCell="F40" sqref="C1:F16384"/>
    </sheetView>
  </sheetViews>
  <sheetFormatPr defaultColWidth="9.140625" defaultRowHeight="12.75"/>
  <cols>
    <col min="2" max="2" width="60.421875" style="0" customWidth="1"/>
    <col min="3" max="3" width="9.140625" style="42" customWidth="1"/>
    <col min="4" max="4" width="11.7109375" style="42" bestFit="1" customWidth="1"/>
    <col min="5" max="5" width="13.8515625" style="42" bestFit="1" customWidth="1"/>
    <col min="6" max="6" width="19.28125" style="42" bestFit="1" customWidth="1"/>
  </cols>
  <sheetData>
    <row r="1" ht="15">
      <c r="B1" s="12" t="s">
        <v>430</v>
      </c>
    </row>
    <row r="2" ht="13.5" thickBot="1"/>
    <row r="3" spans="2:6" ht="17.25" thickBot="1" thickTop="1">
      <c r="B3" s="23" t="s">
        <v>216</v>
      </c>
      <c r="C3" s="59"/>
      <c r="D3" s="59"/>
      <c r="E3" s="59"/>
      <c r="F3" s="91"/>
    </row>
    <row r="4" spans="2:6" ht="16.5" thickTop="1">
      <c r="B4" s="23" t="str">
        <f>+'[1]Main'!$C$13&amp;+" SCHEDULE OF REVENUES AND EXPENDITURES"</f>
        <v>2004 SCHEDULE OF REVENUES AND EXPENDITURES</v>
      </c>
      <c r="C4" s="59"/>
      <c r="D4" s="59"/>
      <c r="E4" s="59"/>
      <c r="F4" s="122"/>
    </row>
    <row r="5" spans="2:6" ht="16.5" thickBot="1">
      <c r="B5" s="2" t="s">
        <v>217</v>
      </c>
      <c r="C5" s="63"/>
      <c r="D5" s="63"/>
      <c r="E5" s="63"/>
      <c r="F5" s="125">
        <f>+'[1]Main'!$C$13</f>
        <v>2004</v>
      </c>
    </row>
    <row r="6" spans="2:6" ht="16.5" thickTop="1">
      <c r="B6" s="1"/>
      <c r="C6" s="64"/>
      <c r="D6" s="64"/>
      <c r="E6" s="123"/>
      <c r="F6" s="62"/>
    </row>
    <row r="7" spans="2:6" ht="15.75">
      <c r="B7" s="2" t="s">
        <v>104</v>
      </c>
      <c r="C7" s="63"/>
      <c r="D7" s="63"/>
      <c r="E7" s="95" t="s">
        <v>105</v>
      </c>
      <c r="F7" s="67" t="s">
        <v>106</v>
      </c>
    </row>
    <row r="8" spans="2:6" ht="16.5" thickBot="1">
      <c r="B8" s="8"/>
      <c r="C8" s="37"/>
      <c r="D8" s="37"/>
      <c r="E8" s="95" t="s">
        <v>107</v>
      </c>
      <c r="F8" s="67" t="s">
        <v>108</v>
      </c>
    </row>
    <row r="9" spans="2:6" ht="16.5" thickTop="1">
      <c r="B9" s="16"/>
      <c r="C9" s="117"/>
      <c r="D9" s="117"/>
      <c r="E9" s="126"/>
      <c r="F9" s="94"/>
    </row>
    <row r="10" spans="2:6" ht="15.75">
      <c r="B10" s="8" t="s">
        <v>431</v>
      </c>
      <c r="C10" s="37"/>
      <c r="D10" s="37"/>
      <c r="E10" s="107"/>
      <c r="F10" s="99"/>
    </row>
    <row r="11" spans="2:6" ht="15.75">
      <c r="B11" s="8" t="s">
        <v>432</v>
      </c>
      <c r="C11" s="37"/>
      <c r="D11" s="37"/>
      <c r="E11" s="107"/>
      <c r="F11" s="99"/>
    </row>
    <row r="12" spans="2:6" ht="15.75">
      <c r="B12" s="6" t="str">
        <f>"           Airport   "&amp;REPT(".  ",255)</f>
        <v>           Airport 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12" s="38"/>
      <c r="D12" s="38"/>
      <c r="E12" s="100" t="s">
        <v>433</v>
      </c>
      <c r="F12" s="101"/>
    </row>
    <row r="13" spans="2:6" ht="15.75">
      <c r="B13" s="6" t="str">
        <f>"           Mass transit   "&amp;REPT(".  ",255)</f>
        <v>           Mass transit 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13" s="38"/>
      <c r="D13" s="38"/>
      <c r="E13" s="102" t="s">
        <v>434</v>
      </c>
      <c r="F13" s="103"/>
    </row>
    <row r="14" spans="2:6" ht="15.75">
      <c r="B14" s="6" t="str">
        <f>"           Docks and harbors (commercial)   "&amp;REPT(".  ",255)</f>
        <v>           Docks and harbors (commercial) 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14" s="38"/>
      <c r="D14" s="38"/>
      <c r="E14" s="102" t="s">
        <v>435</v>
      </c>
      <c r="F14" s="103"/>
    </row>
    <row r="15" spans="2:6" ht="15.75">
      <c r="B15" s="6" t="s">
        <v>436</v>
      </c>
      <c r="C15" s="38"/>
      <c r="D15" s="38"/>
      <c r="E15" s="104"/>
      <c r="F15" s="118"/>
    </row>
    <row r="16" spans="2:6" ht="15.75">
      <c r="B16" s="6"/>
      <c r="C16" s="36"/>
      <c r="D16" s="40" t="s">
        <v>132</v>
      </c>
      <c r="E16" s="100" t="s">
        <v>437</v>
      </c>
      <c r="F16" s="106"/>
    </row>
    <row r="17" spans="2:6" ht="15.75">
      <c r="B17" s="8" t="s">
        <v>438</v>
      </c>
      <c r="C17" s="37"/>
      <c r="D17" s="37"/>
      <c r="E17" s="104" t="s">
        <v>439</v>
      </c>
      <c r="F17" s="118"/>
    </row>
    <row r="18" spans="2:6" ht="15.75">
      <c r="B18" s="6" t="str">
        <f>"           Sewage service   "&amp;REPT(".  ",255)</f>
        <v>           Sewage service 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18" s="38"/>
      <c r="D18" s="38"/>
      <c r="E18" s="100" t="s">
        <v>440</v>
      </c>
      <c r="F18" s="106"/>
    </row>
    <row r="19" spans="2:6" ht="15.75">
      <c r="B19" s="6" t="str">
        <f>"           Refuse and garbage collection (Curbside pickup)   "&amp;REPT(".  ",255)</f>
        <v>           Refuse and garbage collection (Curbside pickup) 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19" s="38"/>
      <c r="D19" s="38"/>
      <c r="E19" s="102" t="s">
        <v>441</v>
      </c>
      <c r="F19" s="103"/>
    </row>
    <row r="20" spans="2:6" ht="15.75">
      <c r="B20" s="6" t="str">
        <f>"           Solid waste disposal (Inc. central collection point transfer)   "&amp;REPT(".  ",255)</f>
        <v>           Solid waste disposal (Inc. central collection point transfer) 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20" s="38"/>
      <c r="D20" s="38"/>
      <c r="E20" s="102" t="s">
        <v>442</v>
      </c>
      <c r="F20" s="103"/>
    </row>
    <row r="21" spans="2:6" ht="15.75">
      <c r="B21" s="6" t="str">
        <f>"           Recycling expenditures   "&amp;REPT(".  ",255)</f>
        <v>           Recycling expenditures 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21" s="38"/>
      <c r="D21" s="38"/>
      <c r="E21" s="102" t="s">
        <v>443</v>
      </c>
      <c r="F21" s="103"/>
    </row>
    <row r="22" spans="2:6" ht="15.75">
      <c r="B22" s="6" t="str">
        <f>"           Weed and nuisance control     "&amp;REPT(".  ",255)</f>
        <v>           Weed and nuisance control   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22" s="38"/>
      <c r="D22" s="38"/>
      <c r="E22" s="102" t="s">
        <v>444</v>
      </c>
      <c r="F22" s="103"/>
    </row>
    <row r="23" spans="2:6" ht="15.75">
      <c r="B23" s="6" t="s">
        <v>445</v>
      </c>
      <c r="C23" s="38"/>
      <c r="D23" s="38"/>
      <c r="E23" s="102" t="s">
        <v>446</v>
      </c>
      <c r="F23" s="103"/>
    </row>
    <row r="24" spans="2:6" ht="15.75">
      <c r="B24" s="6"/>
      <c r="C24" s="36"/>
      <c r="D24" s="40" t="s">
        <v>132</v>
      </c>
      <c r="E24" s="104"/>
      <c r="F24" s="118"/>
    </row>
    <row r="25" spans="2:6" ht="16.5" thickBot="1">
      <c r="B25" s="8" t="str">
        <f>"TOTAL PUBLIC WORKS   "&amp;REPT(".  ",255)</f>
        <v>TOTAL PUBLIC WORKS 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25" s="37"/>
      <c r="D25" s="37"/>
      <c r="E25" s="110" t="s">
        <v>447</v>
      </c>
      <c r="F25" s="111"/>
    </row>
    <row r="26" spans="2:6" ht="15.75">
      <c r="B26" s="6"/>
      <c r="C26" s="38"/>
      <c r="D26" s="38"/>
      <c r="E26" s="76"/>
      <c r="F26" s="121"/>
    </row>
    <row r="27" spans="2:6" ht="15.75">
      <c r="B27" s="8" t="s">
        <v>448</v>
      </c>
      <c r="C27" s="37"/>
      <c r="D27" s="37"/>
      <c r="E27" s="76"/>
      <c r="F27" s="121"/>
    </row>
    <row r="28" spans="2:6" ht="15.75">
      <c r="B28" s="6" t="str">
        <f>"    Public health services (Include animal control)   "&amp;REPT(".  ",255)</f>
        <v>    Public health services (Include animal control) 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28" s="38"/>
      <c r="D28" s="38"/>
      <c r="E28" s="100" t="s">
        <v>449</v>
      </c>
      <c r="F28" s="101"/>
    </row>
    <row r="29" spans="2:6" ht="15.75">
      <c r="B29" s="6" t="str">
        <f>"    General relief   "&amp;REPT(".  ",255)</f>
        <v>    General relief 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29" s="38"/>
      <c r="D29" s="38"/>
      <c r="E29" s="102" t="s">
        <v>450</v>
      </c>
      <c r="F29" s="103"/>
    </row>
    <row r="30" spans="2:6" ht="15.75">
      <c r="B30" s="6" t="str">
        <f>"    Aging (Includes senior citizen programs)   "&amp;REPT(".  ",255)</f>
        <v>    Aging (Includes senior citizen programs) 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30" s="38"/>
      <c r="D30" s="38"/>
      <c r="E30" s="102" t="s">
        <v>451</v>
      </c>
      <c r="F30" s="103"/>
    </row>
    <row r="31" spans="2:6" ht="15.75">
      <c r="B31" s="6" t="str">
        <f>"    Cemetery   "&amp;REPT(".  ",255)</f>
        <v>    Cemetery 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31" s="38"/>
      <c r="D31" s="38"/>
      <c r="E31" s="102" t="s">
        <v>452</v>
      </c>
      <c r="F31" s="103"/>
    </row>
    <row r="32" spans="2:6" ht="15.75">
      <c r="B32" s="6" t="str">
        <f>"    Other health and human services   "&amp;REPT(".  ",255)</f>
        <v>    Other health and human services 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32" s="38"/>
      <c r="D32" s="38"/>
      <c r="E32" s="102" t="s">
        <v>453</v>
      </c>
      <c r="F32" s="103"/>
    </row>
    <row r="33" spans="2:6" ht="15.75">
      <c r="B33" s="6"/>
      <c r="C33" s="38"/>
      <c r="D33" s="38"/>
      <c r="E33" s="104"/>
      <c r="F33" s="118"/>
    </row>
    <row r="34" spans="2:6" ht="16.5" thickBot="1">
      <c r="B34" s="8" t="str">
        <f>"TOTAL HEALTH AND HUMAN SERVICES   "&amp;REPT(".  ",255)</f>
        <v>TOTAL HEALTH AND HUMAN SERVICES 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34" s="37"/>
      <c r="D34" s="37"/>
      <c r="E34" s="110" t="s">
        <v>454</v>
      </c>
      <c r="F34" s="111"/>
    </row>
    <row r="35" spans="2:6" ht="15.75">
      <c r="B35" s="6"/>
      <c r="C35" s="38"/>
      <c r="D35" s="38"/>
      <c r="E35" s="76"/>
      <c r="F35" s="121"/>
    </row>
    <row r="36" spans="2:6" ht="15.75">
      <c r="B36" s="8" t="s">
        <v>455</v>
      </c>
      <c r="C36" s="37"/>
      <c r="D36" s="37"/>
      <c r="E36" s="76"/>
      <c r="F36" s="121"/>
    </row>
    <row r="37" spans="2:6" ht="15.75">
      <c r="B37" s="8" t="s">
        <v>456</v>
      </c>
      <c r="C37" s="37"/>
      <c r="D37" s="37"/>
      <c r="E37" s="76"/>
      <c r="F37" s="99"/>
    </row>
    <row r="38" spans="2:6" ht="15.75">
      <c r="B38" s="6" t="str">
        <f>"           Library   "&amp;REPT(".  ",255)</f>
        <v>           Library 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38" s="38"/>
      <c r="D38" s="38"/>
      <c r="E38" s="113" t="s">
        <v>457</v>
      </c>
      <c r="F38" s="101"/>
    </row>
    <row r="39" spans="2:6" ht="15.75">
      <c r="B39" s="6" t="str">
        <f>"           Museum   "&amp;REPT(".  ",255)</f>
        <v>           Museum 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39" s="38"/>
      <c r="D39" s="38"/>
      <c r="E39" s="102" t="s">
        <v>458</v>
      </c>
      <c r="F39" s="103"/>
    </row>
    <row r="40" spans="2:6" ht="15.75">
      <c r="B40" s="6" t="str">
        <f>"           Other culture   "&amp;REPT(".  ",255)</f>
        <v>           Other culture 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40" s="38"/>
      <c r="D40" s="38"/>
      <c r="E40" s="102" t="s">
        <v>459</v>
      </c>
      <c r="F40" s="103"/>
    </row>
    <row r="41" spans="2:6" ht="15.75">
      <c r="B41" s="6" t="str">
        <f>"           Parks   "&amp;REPT(".  ",255)</f>
        <v>           Parks 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41" s="38"/>
      <c r="D41" s="38"/>
      <c r="E41" s="102" t="s">
        <v>460</v>
      </c>
      <c r="F41" s="103"/>
    </row>
    <row r="42" spans="2:6" ht="15.75">
      <c r="B42" s="6" t="str">
        <f>"           Recreation programs and events   "&amp;REPT(".  ",255)</f>
        <v>           Recreation programs and events 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42" s="38"/>
      <c r="D42" s="38"/>
      <c r="E42" s="102" t="s">
        <v>461</v>
      </c>
      <c r="F42" s="103"/>
    </row>
    <row r="43" spans="2:6" ht="15.75">
      <c r="B43" s="6" t="str">
        <f>"           Recreation facilities   "&amp;REPT(".  ",255)</f>
        <v>           Recreation facilities 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43" s="38"/>
      <c r="D43" s="38"/>
      <c r="E43" s="102" t="s">
        <v>462</v>
      </c>
      <c r="F43" s="103"/>
    </row>
    <row r="44" spans="2:6" ht="15.75">
      <c r="B44" s="6" t="str">
        <f>"           Zoo   "&amp;REPT(".  ",255)</f>
        <v>           Zoo 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44" s="38"/>
      <c r="D44" s="38"/>
      <c r="E44" s="102" t="s">
        <v>463</v>
      </c>
      <c r="F44" s="103"/>
    </row>
    <row r="45" spans="2:6" ht="15.75">
      <c r="B45" s="6"/>
      <c r="C45" s="38"/>
      <c r="D45" s="38"/>
      <c r="E45" s="104"/>
      <c r="F45" s="118"/>
    </row>
    <row r="46" spans="2:6" ht="16.5" thickBot="1">
      <c r="B46" s="8" t="str">
        <f>"TOTAL CULTURE, RECREATION AND EDUCATION   "&amp;REPT(".  ",255)</f>
        <v>TOTAL CULTURE, RECREATION AND EDUCATION 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46" s="37"/>
      <c r="D46" s="37"/>
      <c r="E46" s="110" t="s">
        <v>464</v>
      </c>
      <c r="F46" s="111"/>
    </row>
    <row r="47" spans="2:6" ht="15.75">
      <c r="B47" s="6"/>
      <c r="C47" s="38"/>
      <c r="D47" s="38"/>
      <c r="E47" s="76"/>
      <c r="F47" s="121"/>
    </row>
    <row r="48" spans="2:6" ht="15.75">
      <c r="B48" s="8" t="s">
        <v>465</v>
      </c>
      <c r="C48" s="37"/>
      <c r="D48" s="37"/>
      <c r="E48" s="76"/>
      <c r="F48" s="121"/>
    </row>
    <row r="49" spans="2:6" ht="15.75">
      <c r="B49" s="6" t="str">
        <f>"    Public housing   "&amp;REPT(".  ",255)</f>
        <v>    Public housing 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49" s="38"/>
      <c r="D49" s="38"/>
      <c r="E49" s="100" t="s">
        <v>466</v>
      </c>
      <c r="F49" s="101"/>
    </row>
    <row r="50" spans="2:6" ht="15.75">
      <c r="B50" s="6" t="str">
        <f>"    Urban development   "&amp;REPT(".  ",255)</f>
        <v>    Urban development 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50" s="38"/>
      <c r="D50" s="38"/>
      <c r="E50" s="102" t="s">
        <v>467</v>
      </c>
      <c r="F50" s="103"/>
    </row>
    <row r="51" spans="2:6" ht="15.75">
      <c r="B51" s="6" t="str">
        <f>"    Economic development   "&amp;REPT(".  ",255)</f>
        <v>    Economic development 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51" s="38"/>
      <c r="D51" s="38"/>
      <c r="E51" s="102" t="s">
        <v>468</v>
      </c>
      <c r="F51" s="103"/>
    </row>
    <row r="52" spans="2:6" ht="15.75">
      <c r="B52" s="6" t="str">
        <f>"    Other conservation and development (zoning)  "&amp;REPT(".  ",255)</f>
        <v>    Other conservation and development (zoning)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52" s="38"/>
      <c r="D52" s="38"/>
      <c r="E52" s="102" t="s">
        <v>469</v>
      </c>
      <c r="F52" s="103"/>
    </row>
    <row r="53" spans="2:6" ht="15.75">
      <c r="B53" s="6"/>
      <c r="C53" s="38"/>
      <c r="D53" s="38"/>
      <c r="E53" s="104"/>
      <c r="F53" s="118"/>
    </row>
    <row r="54" spans="2:6" ht="16.5" thickBot="1">
      <c r="B54" s="8" t="str">
        <f>"TOTAL CONSERVATION AND DEVELOPMENT   "&amp;REPT(".  ",255)</f>
        <v>TOTAL CONSERVATION AND DEVELOPMENT 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54" s="37"/>
      <c r="D54" s="37"/>
      <c r="E54" s="110" t="s">
        <v>470</v>
      </c>
      <c r="F54" s="111"/>
    </row>
    <row r="55" spans="2:6" ht="15.75">
      <c r="B55" s="6"/>
      <c r="C55" s="38"/>
      <c r="D55" s="38"/>
      <c r="E55" s="39"/>
      <c r="F55" s="121"/>
    </row>
    <row r="56" spans="2:6" ht="15.75">
      <c r="B56" s="6"/>
      <c r="C56" s="38"/>
      <c r="D56" s="38"/>
      <c r="E56" s="39"/>
      <c r="F56" s="121"/>
    </row>
    <row r="57" spans="2:6" ht="15.75">
      <c r="B57" s="6"/>
      <c r="C57" s="38"/>
      <c r="D57" s="38"/>
      <c r="E57" s="39"/>
      <c r="F57" s="121"/>
    </row>
    <row r="58" spans="2:6" ht="15.75">
      <c r="B58" s="6"/>
      <c r="C58" s="38"/>
      <c r="D58" s="38"/>
      <c r="E58" s="39"/>
      <c r="F58" s="121"/>
    </row>
    <row r="59" spans="2:6" ht="15.75">
      <c r="B59" s="6"/>
      <c r="C59" s="38"/>
      <c r="D59" s="38"/>
      <c r="E59" s="39"/>
      <c r="F59" s="121"/>
    </row>
    <row r="60" spans="2:6" ht="15.75">
      <c r="B60" s="6"/>
      <c r="C60" s="38"/>
      <c r="D60" s="38"/>
      <c r="E60" s="39"/>
      <c r="F60" s="121"/>
    </row>
    <row r="61" spans="2:6" ht="15.75">
      <c r="B61" s="6"/>
      <c r="C61" s="38"/>
      <c r="D61" s="38"/>
      <c r="E61" s="39"/>
      <c r="F61" s="121"/>
    </row>
    <row r="62" spans="2:6" ht="15.75">
      <c r="B62" s="6"/>
      <c r="C62" s="38"/>
      <c r="D62" s="38"/>
      <c r="E62" s="39"/>
      <c r="F62" s="121"/>
    </row>
    <row r="63" spans="2:6" ht="15.75">
      <c r="B63" s="6"/>
      <c r="C63" s="38"/>
      <c r="D63" s="38"/>
      <c r="E63" s="39"/>
      <c r="F63" s="121"/>
    </row>
    <row r="64" spans="2:6" ht="15.75">
      <c r="B64" s="6"/>
      <c r="C64" s="38"/>
      <c r="D64" s="38"/>
      <c r="E64" s="38"/>
      <c r="F64" s="121"/>
    </row>
    <row r="65" spans="2:6" ht="16.5" thickBot="1">
      <c r="B65" s="25"/>
      <c r="C65" s="88"/>
      <c r="D65" s="88"/>
      <c r="E65" s="88"/>
      <c r="F65" s="114"/>
    </row>
    <row r="66" ht="13.5" thickTop="1"/>
  </sheetData>
  <printOptions/>
  <pageMargins left="0.75" right="0.75" top="1" bottom="1" header="0.5" footer="0.5"/>
  <pageSetup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B1:D65"/>
  <sheetViews>
    <sheetView workbookViewId="0" topLeftCell="A1">
      <selection activeCell="D1" sqref="B1:D16384"/>
    </sheetView>
  </sheetViews>
  <sheetFormatPr defaultColWidth="9.140625" defaultRowHeight="12.75"/>
  <cols>
    <col min="2" max="2" width="79.00390625" style="42" customWidth="1"/>
    <col min="3" max="3" width="13.8515625" style="42" bestFit="1" customWidth="1"/>
    <col min="4" max="4" width="19.28125" style="42" bestFit="1" customWidth="1"/>
  </cols>
  <sheetData>
    <row r="1" ht="15">
      <c r="B1" s="87" t="s">
        <v>471</v>
      </c>
    </row>
    <row r="2" ht="13.5" thickBot="1"/>
    <row r="3" spans="2:4" ht="17.25" thickBot="1" thickTop="1">
      <c r="B3" s="127" t="s">
        <v>216</v>
      </c>
      <c r="C3" s="59"/>
      <c r="D3" s="91"/>
    </row>
    <row r="4" spans="2:4" ht="16.5" thickTop="1">
      <c r="B4" s="127" t="str">
        <f>+'[1]Main'!$C$13&amp;+" SCHEDULE OF REVENUES AND EXPENDITURES"</f>
        <v>2004 SCHEDULE OF REVENUES AND EXPENDITURES</v>
      </c>
      <c r="C4" s="59"/>
      <c r="D4" s="128"/>
    </row>
    <row r="5" spans="2:4" ht="16.5" thickBot="1">
      <c r="B5" s="129" t="s">
        <v>217</v>
      </c>
      <c r="C5" s="63"/>
      <c r="D5" s="125">
        <f>+'[1]Main'!$C$13</f>
        <v>2004</v>
      </c>
    </row>
    <row r="6" spans="2:4" ht="16.5" thickTop="1">
      <c r="B6" s="130"/>
      <c r="C6" s="123"/>
      <c r="D6" s="62"/>
    </row>
    <row r="7" spans="2:4" ht="15.75">
      <c r="B7" s="131" t="s">
        <v>104</v>
      </c>
      <c r="C7" s="95" t="s">
        <v>105</v>
      </c>
      <c r="D7" s="67" t="s">
        <v>106</v>
      </c>
    </row>
    <row r="8" spans="2:4" ht="16.5" thickBot="1">
      <c r="B8" s="132"/>
      <c r="C8" s="95" t="s">
        <v>107</v>
      </c>
      <c r="D8" s="67" t="s">
        <v>108</v>
      </c>
    </row>
    <row r="9" spans="2:4" ht="16.5" thickTop="1">
      <c r="B9" s="133"/>
      <c r="C9" s="126"/>
      <c r="D9" s="94"/>
    </row>
    <row r="10" spans="2:4" ht="15.75">
      <c r="B10" s="132" t="s">
        <v>472</v>
      </c>
      <c r="C10" s="107"/>
      <c r="D10" s="99"/>
    </row>
    <row r="11" spans="2:4" ht="15.75">
      <c r="B11" s="132" t="s">
        <v>473</v>
      </c>
      <c r="C11" s="107"/>
      <c r="D11" s="99"/>
    </row>
    <row r="12" spans="2:4" ht="15.75">
      <c r="B12" s="134" t="str">
        <f>"           General public buildings outlay (Allocate highway &amp; public safety)   "&amp;REPT(".  ",255)</f>
        <v>           General public buildings outlay (Allocate highway &amp; public safety) 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12" s="100" t="s">
        <v>474</v>
      </c>
      <c r="D12" s="101"/>
    </row>
    <row r="13" spans="2:4" ht="15.75">
      <c r="B13" s="134" t="str">
        <f>"           Other general government outlay   "&amp;REPT(".  ",255)</f>
        <v>           Other general government outlay 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13" s="102" t="s">
        <v>475</v>
      </c>
      <c r="D13" s="103"/>
    </row>
    <row r="14" spans="2:4" ht="15.75">
      <c r="B14" s="132" t="s">
        <v>476</v>
      </c>
      <c r="C14" s="104"/>
      <c r="D14" s="118"/>
    </row>
    <row r="15" spans="2:4" ht="15.75">
      <c r="B15" s="134" t="str">
        <f>"           Law enforcement outlay   "&amp;REPT(".  ",255)</f>
        <v>           Law enforcement outlay 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15" s="100" t="s">
        <v>477</v>
      </c>
      <c r="D15" s="106"/>
    </row>
    <row r="16" spans="2:4" ht="15.75">
      <c r="B16" s="134" t="str">
        <f>"           Fire protection outlay   "&amp;REPT(".  ",255)</f>
        <v>           Fire protection outlay 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16" s="102" t="s">
        <v>0</v>
      </c>
      <c r="D16" s="103"/>
    </row>
    <row r="17" spans="2:4" ht="15.75">
      <c r="B17" s="134" t="str">
        <f>"           Ambulance\EMS outlay   "&amp;REPT(".  ",255)</f>
        <v>           Ambulance\EMS outlay 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17" s="102" t="s">
        <v>1</v>
      </c>
      <c r="D17" s="103"/>
    </row>
    <row r="18" spans="2:4" ht="15.75">
      <c r="B18" s="134" t="str">
        <f>"           Emergency communication (911) outlay (law enforcement share)   "&amp;REPT(".  ",255)</f>
        <v>           Emergency communication (911) outlay (law enforcement share) 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18" s="102" t="s">
        <v>2</v>
      </c>
      <c r="D18" s="103"/>
    </row>
    <row r="19" spans="2:4" ht="15.75">
      <c r="B19" s="134" t="str">
        <f>"           Emergency communication (911) outlay (Exclude law enforcement share)   "&amp;REPT(".  ",255)</f>
        <v>           Emergency communication (911) outlay (Exclude law enforcement share) 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19" s="102" t="s">
        <v>3</v>
      </c>
      <c r="D19" s="103"/>
    </row>
    <row r="20" spans="2:4" ht="15.75">
      <c r="B20" s="134" t="str">
        <f>"           Other public safety outlay   "&amp;REPT(".  ",255)</f>
        <v>           Other public safety outlay 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20" s="102" t="s">
        <v>4</v>
      </c>
      <c r="D20" s="103"/>
    </row>
    <row r="21" spans="2:4" ht="15.75">
      <c r="B21" s="132" t="s">
        <v>165</v>
      </c>
      <c r="C21" s="104"/>
      <c r="D21" s="118"/>
    </row>
    <row r="22" spans="2:4" ht="15.75">
      <c r="B22" s="132" t="s">
        <v>5</v>
      </c>
      <c r="C22" s="107"/>
      <c r="D22" s="99"/>
    </row>
    <row r="23" spans="2:4" ht="15.75">
      <c r="B23" s="134" t="str">
        <f>"                    Highway equipment outlay   "&amp;REPT(".  ",255)</f>
        <v>                    Highway equipment outlay 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23" s="100" t="s">
        <v>6</v>
      </c>
      <c r="D23" s="106"/>
    </row>
    <row r="24" spans="2:4" ht="15.75">
      <c r="B24" s="134" t="str">
        <f>"                    Highway building outlay   "&amp;REPT(".  ",255)</f>
        <v>                    Highway building outlay 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24" s="102" t="s">
        <v>7</v>
      </c>
      <c r="D24" s="103"/>
    </row>
    <row r="25" spans="2:4" ht="15.75">
      <c r="B25" s="134" t="str">
        <f>"                    Highway and street outlay for local   "&amp;REPT(".  ",255)</f>
        <v>                    Highway and street outlay for local 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25" s="102" t="s">
        <v>8</v>
      </c>
      <c r="D25" s="103"/>
    </row>
    <row r="26" spans="2:4" ht="15.75">
      <c r="B26" s="134" t="str">
        <f>"                    Highway and street outlay for state   "&amp;REPT(".  ",255)</f>
        <v>                    Highway and street outlay for state 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26" s="102" t="s">
        <v>9</v>
      </c>
      <c r="D26" s="103"/>
    </row>
    <row r="27" spans="2:4" ht="15.75">
      <c r="B27" s="134" t="str">
        <f>"                    Highway and street outlay for other local governments   "&amp;REPT(".  ",255)</f>
        <v>                    Highway and street outlay for other local governments 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27" s="102" t="s">
        <v>10</v>
      </c>
      <c r="D27" s="103"/>
    </row>
    <row r="28" spans="2:4" ht="15.75">
      <c r="B28" s="132" t="s">
        <v>11</v>
      </c>
      <c r="C28" s="104"/>
      <c r="D28" s="118"/>
    </row>
    <row r="29" spans="2:4" ht="15.75">
      <c r="B29" s="134" t="str">
        <f>"                    Limited purpose roads   "&amp;REPT(".  ",255)</f>
        <v>                    Limited purpose roads 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29" s="100" t="s">
        <v>12</v>
      </c>
      <c r="D29" s="106"/>
    </row>
    <row r="30" spans="2:4" ht="15.75">
      <c r="B30" s="134" t="str">
        <f>"                    Street (highway) lighting outlay   "&amp;REPT(".  ",255)</f>
        <v>                    Street (highway) lighting outlay 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30" s="102" t="s">
        <v>13</v>
      </c>
      <c r="D30" s="103"/>
    </row>
    <row r="31" spans="2:4" ht="15.75">
      <c r="B31" s="134" t="str">
        <f>"                    Sidewalks replacement with street reconstruction   "&amp;REPT(".  ",255)</f>
        <v>                    Sidewalks replacement with street reconstruction 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31" s="102" t="s">
        <v>14</v>
      </c>
      <c r="D31" s="103"/>
    </row>
    <row r="32" spans="2:4" ht="15.75">
      <c r="B32" s="134" t="str">
        <f>"                    New sidewalk outlay and replacement without st. reconstruction   "&amp;REPT(".  ",255)</f>
        <v>                    New sidewalk outlay and replacement without st. reconstruction 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32" s="102" t="s">
        <v>15</v>
      </c>
      <c r="D32" s="103"/>
    </row>
    <row r="33" spans="2:4" ht="15.75">
      <c r="B33" s="134" t="str">
        <f>"                    Storm sewer outlay   "&amp;REPT(".  ",255)</f>
        <v>                    Storm sewer outlay 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33" s="102" t="s">
        <v>16</v>
      </c>
      <c r="D33" s="103"/>
    </row>
    <row r="34" spans="2:4" ht="15.75">
      <c r="B34" s="134" t="str">
        <f>"                    Parking facilities outlay   "&amp;REPT(".  ",255)</f>
        <v>                    Parking facilities outlay 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34" s="102" t="s">
        <v>17</v>
      </c>
      <c r="D34" s="103"/>
    </row>
    <row r="35" spans="2:4" ht="15.75">
      <c r="B35" s="132" t="s">
        <v>18</v>
      </c>
      <c r="C35" s="104"/>
      <c r="D35" s="118"/>
    </row>
    <row r="36" spans="2:4" ht="15.75">
      <c r="B36" s="134" t="str">
        <f>"                    Airport outlay   "&amp;REPT(".  ",255)</f>
        <v>                    Airport outlay 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36" s="100" t="s">
        <v>19</v>
      </c>
      <c r="D36" s="106"/>
    </row>
    <row r="37" spans="2:4" ht="15.75">
      <c r="B37" s="134" t="str">
        <f>"                    Mass transit outlay   "&amp;REPT(".  ",255)</f>
        <v>                    Mass transit outlay 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37" s="102" t="s">
        <v>20</v>
      </c>
      <c r="D37" s="103"/>
    </row>
    <row r="38" spans="2:4" ht="15.75">
      <c r="B38" s="134" t="str">
        <f>"                    Dock and harbor outlay (commercial)   "&amp;REPT(".  ",255)</f>
        <v>                    Dock and harbor outlay (commercial) 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38" s="102" t="s">
        <v>21</v>
      </c>
      <c r="D38" s="103"/>
    </row>
    <row r="39" spans="2:4" ht="15.75">
      <c r="B39" s="134" t="str">
        <f>"                    Other transportation outlay   "&amp;REPT(".  ",255)</f>
        <v>                    Other transportation outlay 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39" s="102" t="s">
        <v>22</v>
      </c>
      <c r="D39" s="103"/>
    </row>
    <row r="40" spans="2:4" ht="15.75">
      <c r="B40" s="134" t="s">
        <v>23</v>
      </c>
      <c r="C40" s="104"/>
      <c r="D40" s="118"/>
    </row>
    <row r="41" spans="2:4" ht="15.75">
      <c r="B41" s="134" t="str">
        <f>"           Sewage service outlay   "&amp;REPT(".  ",255)</f>
        <v>           Sewage service outlay 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41" s="100" t="s">
        <v>24</v>
      </c>
      <c r="D41" s="106"/>
    </row>
    <row r="42" spans="2:4" ht="15.75">
      <c r="B42" s="134" t="str">
        <f>"           Refuse and garbage collection outlay   "&amp;REPT(".  ",255)</f>
        <v>           Refuse and garbage collection outlay 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42" s="102" t="s">
        <v>25</v>
      </c>
      <c r="D42" s="103"/>
    </row>
    <row r="43" spans="2:4" ht="15.75">
      <c r="B43" s="134" t="str">
        <f>"           Solid waste disposal outlay (Inc. landfill closure cost)   "&amp;REPT(".  ",255)</f>
        <v>           Solid waste disposal outlay (Inc. landfill closure cost) 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43" s="102" t="s">
        <v>26</v>
      </c>
      <c r="D43" s="103"/>
    </row>
    <row r="44" spans="2:4" ht="15.75">
      <c r="B44" s="134" t="str">
        <f>"           Recycling outlay   "&amp;REPT(".  ",255)</f>
        <v>           Recycling outlay 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44" s="102" t="s">
        <v>27</v>
      </c>
      <c r="D44" s="103"/>
    </row>
    <row r="45" spans="2:4" ht="15.75">
      <c r="B45" s="134" t="str">
        <f>"           Other sanitation outlay (Include water mains and laterals)   "&amp;REPT(".  ",255)</f>
        <v>           Other sanitation outlay (Include water mains and laterals) 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45" s="102" t="s">
        <v>28</v>
      </c>
      <c r="D45" s="103"/>
    </row>
    <row r="46" spans="2:4" ht="15.75">
      <c r="B46" s="134" t="s">
        <v>29</v>
      </c>
      <c r="C46" s="104"/>
      <c r="D46" s="118"/>
    </row>
    <row r="47" spans="2:4" ht="15.75">
      <c r="B47" s="134" t="str">
        <f>"           Health outlay   "&amp;REPT(".  ",255)</f>
        <v>           Health outlay 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47" s="100" t="s">
        <v>30</v>
      </c>
      <c r="D47" s="106"/>
    </row>
    <row r="48" spans="2:4" ht="15.75">
      <c r="B48" s="134" t="s">
        <v>31</v>
      </c>
      <c r="C48" s="104"/>
      <c r="D48" s="118"/>
    </row>
    <row r="49" spans="2:4" ht="15.75">
      <c r="B49" s="134" t="str">
        <f>"           Library outlay   "&amp;REPT(".  ",255)</f>
        <v>           Library outlay 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49" s="100" t="s">
        <v>32</v>
      </c>
      <c r="D49" s="106"/>
    </row>
    <row r="50" spans="2:4" ht="15.75">
      <c r="B50" s="134" t="str">
        <f>"           Parks outlay   "&amp;REPT(".  ",255)</f>
        <v>           Parks outlay 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50" s="102" t="s">
        <v>33</v>
      </c>
      <c r="D50" s="103"/>
    </row>
    <row r="51" spans="2:4" ht="15.75">
      <c r="B51" s="134" t="str">
        <f>"           Other culture and recreation outlay   "&amp;REPT(".  ",255)</f>
        <v>           Other culture and recreation outlay 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51" s="102" t="s">
        <v>34</v>
      </c>
      <c r="D51" s="103"/>
    </row>
    <row r="52" spans="2:4" ht="15.75">
      <c r="B52" s="134" t="s">
        <v>35</v>
      </c>
      <c r="C52" s="104"/>
      <c r="D52" s="118"/>
    </row>
    <row r="53" spans="2:4" ht="15.75">
      <c r="B53" s="134" t="str">
        <f>"           Public housing outlay   "&amp;REPT(".  ",255)</f>
        <v>           Public housing outlay 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53" s="100" t="s">
        <v>36</v>
      </c>
      <c r="D53" s="106"/>
    </row>
    <row r="54" spans="2:4" ht="15.75">
      <c r="B54" s="134" t="str">
        <f>"           Urban development outlay   "&amp;REPT(".  ",255)</f>
        <v>           Urban development outlay 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54" s="102" t="s">
        <v>37</v>
      </c>
      <c r="D54" s="103"/>
    </row>
    <row r="55" spans="2:4" ht="15.75">
      <c r="B55" s="134" t="str">
        <f>"           Economic development outlay   "&amp;REPT(".  ",255)</f>
        <v>           Economic development outlay 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55" s="102" t="s">
        <v>38</v>
      </c>
      <c r="D55" s="103"/>
    </row>
    <row r="56" spans="2:4" ht="15.75">
      <c r="B56" s="134" t="str">
        <f>"           Other conservation and development outlay   "&amp;REPT(".  ",255)</f>
        <v>           Other conservation and development outlay 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56" s="102" t="s">
        <v>39</v>
      </c>
      <c r="D56" s="103"/>
    </row>
    <row r="57" spans="2:4" ht="15.75">
      <c r="B57" s="134"/>
      <c r="C57" s="104"/>
      <c r="D57" s="118"/>
    </row>
    <row r="58" spans="2:4" ht="16.5" thickBot="1">
      <c r="B58" s="132" t="str">
        <f>"TOTAL CAPITAL OUTLAY   "&amp;REPT(".  ",255)</f>
        <v>TOTAL CAPITAL OUTLAY 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.  </v>
      </c>
      <c r="C58" s="100" t="s">
        <v>40</v>
      </c>
      <c r="D58" s="111"/>
    </row>
    <row r="59" spans="2:4" ht="15.75">
      <c r="B59" s="134"/>
      <c r="C59" s="39"/>
      <c r="D59" s="121"/>
    </row>
    <row r="60" spans="2:4" ht="15.75">
      <c r="B60" s="134"/>
      <c r="C60" s="39"/>
      <c r="D60" s="121"/>
    </row>
    <row r="61" spans="2:4" ht="15.75">
      <c r="B61" s="134"/>
      <c r="C61" s="39"/>
      <c r="D61" s="121"/>
    </row>
    <row r="62" spans="2:4" ht="15.75">
      <c r="B62" s="134"/>
      <c r="C62" s="39"/>
      <c r="D62" s="121"/>
    </row>
    <row r="63" spans="2:4" ht="15.75">
      <c r="B63" s="134"/>
      <c r="C63" s="39"/>
      <c r="D63" s="121"/>
    </row>
    <row r="64" spans="2:4" ht="15.75">
      <c r="B64" s="134"/>
      <c r="C64" s="38"/>
      <c r="D64" s="121"/>
    </row>
    <row r="65" spans="2:4" ht="16.5" thickBot="1">
      <c r="B65" s="135"/>
      <c r="C65" s="88"/>
      <c r="D65" s="114"/>
    </row>
    <row r="66" ht="13.5" thickTop="1"/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UWSP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R_Roberts</dc:creator>
  <cp:keywords/>
  <dc:description/>
  <cp:lastModifiedBy>R_Roberts</cp:lastModifiedBy>
  <cp:lastPrinted>2005-04-11T19:21:04Z</cp:lastPrinted>
  <dcterms:created xsi:type="dcterms:W3CDTF">2005-04-11T15:42:59Z</dcterms:created>
  <dcterms:modified xsi:type="dcterms:W3CDTF">2005-06-10T19:20:53Z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1214796488</vt:i4>
  </property>
  <property fmtid="{D5CDD505-2E9C-101B-9397-08002B2CF9AE}" pid="4" name="_EmailSubje">
    <vt:lpwstr>COCS website</vt:lpwstr>
  </property>
  <property fmtid="{D5CDD505-2E9C-101B-9397-08002B2CF9AE}" pid="5" name="_AuthorEma">
    <vt:lpwstr>Rebecca.Roberts@uwsp.edu</vt:lpwstr>
  </property>
  <property fmtid="{D5CDD505-2E9C-101B-9397-08002B2CF9AE}" pid="6" name="_AuthorEmailDisplayNa">
    <vt:lpwstr>Roberts, Rebecca</vt:lpwstr>
  </property>
</Properties>
</file>